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D:\OneDrive\Ações\"/>
    </mc:Choice>
  </mc:AlternateContent>
  <xr:revisionPtr revIDLastSave="0" documentId="13_ncr:1_{1BB2E2B1-776D-4968-99CD-EA0108E79659}" xr6:coauthVersionLast="45" xr6:coauthVersionMax="45" xr10:uidLastSave="{00000000-0000-0000-0000-000000000000}"/>
  <bookViews>
    <workbookView xWindow="-120" yWindow="-120" windowWidth="29040" windowHeight="15840" xr2:uid="{23981F38-4B56-44FC-85AE-921AE99B257E}"/>
  </bookViews>
  <sheets>
    <sheet name="OperaçõesAções" sheetId="1" r:id="rId1"/>
    <sheet name="PreçosMédiosAções" sheetId="2" r:id="rId2"/>
    <sheet name="Financeiro" sheetId="5" r:id="rId3"/>
    <sheet name="PositionSizing" sheetId="6" r:id="rId4"/>
    <sheet name="IR" sheetId="4" r:id="rId5"/>
  </sheets>
  <definedNames>
    <definedName name="_xlnm._FilterDatabase" localSheetId="0" hidden="1">OperaçõesAções!$A$1:$T$9</definedName>
    <definedName name="_xlnm._FilterDatabase" localSheetId="1" hidden="1">PreçosMédiosAções!$B$1:$O$7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4" i="5" l="1"/>
  <c r="I13" i="5"/>
  <c r="I12" i="5"/>
  <c r="I11" i="5"/>
  <c r="I10" i="5"/>
  <c r="I9" i="5"/>
  <c r="I8" i="5"/>
  <c r="I7" i="5"/>
  <c r="I6" i="5"/>
  <c r="I5" i="5"/>
  <c r="I4" i="5"/>
  <c r="I3" i="5"/>
  <c r="H14" i="5"/>
  <c r="H13" i="5"/>
  <c r="H12" i="5"/>
  <c r="H11" i="5"/>
  <c r="H10" i="5"/>
  <c r="H9" i="5"/>
  <c r="H8" i="5"/>
  <c r="H7" i="5"/>
  <c r="H6" i="5"/>
  <c r="H4" i="5"/>
  <c r="H5" i="5"/>
  <c r="H3" i="5"/>
  <c r="G14" i="5" l="1"/>
  <c r="F14" i="5"/>
  <c r="G13" i="5"/>
  <c r="F13" i="5"/>
  <c r="G12" i="5"/>
  <c r="F12" i="5"/>
  <c r="G11" i="5"/>
  <c r="F11" i="5"/>
  <c r="G10" i="5"/>
  <c r="F10" i="5"/>
  <c r="G9" i="5"/>
  <c r="F9" i="5"/>
  <c r="G8" i="5"/>
  <c r="F8" i="5"/>
  <c r="G7" i="5"/>
  <c r="F7" i="5"/>
  <c r="G6" i="5"/>
  <c r="F6" i="5"/>
  <c r="G5" i="5"/>
  <c r="G4" i="5"/>
  <c r="G3" i="5"/>
  <c r="F5" i="5"/>
  <c r="F4" i="5"/>
  <c r="F3" i="5"/>
  <c r="N4" i="5" l="1"/>
  <c r="N5" i="5" s="1"/>
  <c r="N6" i="5" s="1"/>
  <c r="N7" i="5" s="1"/>
  <c r="N8" i="5" s="1"/>
  <c r="N9" i="5" s="1"/>
  <c r="N10" i="5" s="1"/>
  <c r="N11" i="5" s="1"/>
  <c r="N12" i="5" s="1"/>
  <c r="N13" i="5" s="1"/>
  <c r="N14" i="5" s="1"/>
  <c r="N3" i="5"/>
  <c r="M3" i="5"/>
  <c r="M4" i="5" s="1"/>
  <c r="M5" i="5" s="1"/>
  <c r="M6" i="5" s="1"/>
  <c r="M7" i="5" s="1"/>
  <c r="M8" i="5" s="1"/>
  <c r="M9" i="5" s="1"/>
  <c r="M10" i="5" s="1"/>
  <c r="M11" i="5" s="1"/>
  <c r="M12" i="5" s="1"/>
  <c r="M13" i="5" s="1"/>
  <c r="M14" i="5" s="1"/>
  <c r="B3" i="6" l="1"/>
  <c r="C10" i="6" s="1"/>
  <c r="C11" i="6" s="1"/>
  <c r="B9" i="6"/>
  <c r="B10" i="6" s="1"/>
  <c r="B11" i="6" s="1"/>
  <c r="C9" i="6"/>
  <c r="D9" i="6"/>
  <c r="B14" i="6"/>
  <c r="C14" i="6"/>
  <c r="D14" i="6"/>
  <c r="O2" i="5"/>
  <c r="O3" i="5" s="1"/>
  <c r="O4" i="5" s="1"/>
  <c r="O5" i="5" s="1"/>
  <c r="O6" i="5" s="1"/>
  <c r="O7" i="5" s="1"/>
  <c r="O8" i="5" s="1"/>
  <c r="O9" i="5" s="1"/>
  <c r="O10" i="5" s="1"/>
  <c r="O11" i="5" s="1"/>
  <c r="O12" i="5" s="1"/>
  <c r="O13" i="5" s="1"/>
  <c r="O14" i="5" s="1"/>
  <c r="K3" i="5"/>
  <c r="L3" i="5"/>
  <c r="L4" i="5"/>
  <c r="K4" i="5"/>
  <c r="L5" i="5"/>
  <c r="K5" i="5"/>
  <c r="L6" i="5"/>
  <c r="K6" i="5"/>
  <c r="K7" i="5"/>
  <c r="L7" i="5"/>
  <c r="L8" i="5"/>
  <c r="K8" i="5"/>
  <c r="K9" i="5"/>
  <c r="L9" i="5"/>
  <c r="L10" i="5"/>
  <c r="K10" i="5"/>
  <c r="K11" i="5"/>
  <c r="L11" i="5"/>
  <c r="L12" i="5"/>
  <c r="K12" i="5"/>
  <c r="K13" i="5"/>
  <c r="L13" i="5" s="1"/>
  <c r="L14" i="5"/>
  <c r="K14" i="5"/>
  <c r="B18" i="6" l="1"/>
  <c r="D10" i="6"/>
  <c r="D11" i="6" s="1"/>
  <c r="G15" i="4"/>
  <c r="G14" i="4"/>
  <c r="G13" i="4"/>
  <c r="G12" i="4"/>
  <c r="G11" i="4"/>
  <c r="G10" i="4"/>
  <c r="G9" i="4"/>
  <c r="G8" i="4"/>
  <c r="G7" i="4"/>
  <c r="G6" i="4"/>
  <c r="G5" i="4"/>
  <c r="G4" i="4"/>
  <c r="F15" i="4"/>
  <c r="F14" i="4"/>
  <c r="F13" i="4"/>
  <c r="F12" i="4"/>
  <c r="F10" i="4"/>
  <c r="F9" i="4"/>
  <c r="F8" i="4"/>
  <c r="F7" i="4"/>
  <c r="F6" i="4"/>
  <c r="F5" i="4"/>
  <c r="F4" i="4"/>
  <c r="F11" i="4"/>
  <c r="C4" i="4"/>
  <c r="C5" i="4" s="1"/>
  <c r="C6" i="4" s="1"/>
  <c r="C7" i="4" s="1"/>
  <c r="C8" i="4" s="1"/>
  <c r="C9" i="4" s="1"/>
  <c r="C10" i="4" s="1"/>
  <c r="C11" i="4" s="1"/>
  <c r="C12" i="4" s="1"/>
  <c r="C13" i="4" s="1"/>
  <c r="C14" i="4" s="1"/>
  <c r="C15" i="4" s="1"/>
  <c r="I3" i="2" l="1"/>
  <c r="I4" i="2" s="1"/>
  <c r="G7" i="2"/>
  <c r="H7" i="2" s="1"/>
  <c r="G6" i="2"/>
  <c r="H6" i="2" s="1"/>
  <c r="G5" i="2"/>
  <c r="H5" i="2" s="1"/>
  <c r="G4" i="2"/>
  <c r="H4" i="2" s="1"/>
  <c r="G3" i="2"/>
  <c r="H3" i="2" s="1"/>
  <c r="J3" i="2" s="1"/>
  <c r="K5" i="2"/>
  <c r="K4" i="2"/>
  <c r="K3" i="2"/>
  <c r="D4" i="4" l="1"/>
  <c r="I5" i="2"/>
  <c r="I6" i="2" s="1"/>
  <c r="J4" i="2"/>
  <c r="J5" i="2" s="1"/>
  <c r="K6" i="2" s="1"/>
  <c r="J6" i="2" l="1"/>
  <c r="K7" i="2" s="1"/>
  <c r="I7" i="2"/>
  <c r="J7" i="2" s="1"/>
  <c r="D5" i="4" l="1"/>
  <c r="D6" i="4"/>
  <c r="D7" i="4" l="1"/>
  <c r="D8" i="4" l="1"/>
  <c r="D10" i="4" l="1"/>
  <c r="D9" i="4"/>
  <c r="D11" i="4" l="1"/>
  <c r="D12" i="4" l="1"/>
  <c r="D13" i="4" l="1"/>
  <c r="D14" i="4" l="1"/>
  <c r="D15" i="4"/>
  <c r="I4" i="4" l="1"/>
  <c r="J4" i="4" l="1"/>
  <c r="J5" i="4" l="1"/>
  <c r="I5" i="4"/>
  <c r="I6" i="4" l="1"/>
  <c r="J6" i="4"/>
  <c r="I7" i="4" l="1"/>
  <c r="I8" i="4" s="1"/>
  <c r="J7" i="4"/>
  <c r="J8" i="4" l="1"/>
  <c r="J9" i="4" l="1"/>
  <c r="I9" i="4"/>
  <c r="I10" i="4" l="1"/>
  <c r="J10" i="4"/>
  <c r="J11" i="4" l="1"/>
  <c r="I11" i="4"/>
  <c r="I12" i="4" l="1"/>
  <c r="I13" i="4" s="1"/>
  <c r="J12" i="4"/>
  <c r="J13" i="4" l="1"/>
  <c r="J14" i="4" l="1"/>
  <c r="I14" i="4"/>
  <c r="I15" i="4" l="1"/>
  <c r="J15" i="4"/>
  <c r="J2" i="1" l="1"/>
  <c r="I9" i="1" l="1"/>
  <c r="F9" i="1" s="1"/>
  <c r="G9" i="1" s="1"/>
  <c r="I8" i="1"/>
  <c r="F8" i="1" s="1"/>
  <c r="G8" i="1" s="1"/>
  <c r="I7" i="1"/>
  <c r="F7" i="1" s="1"/>
  <c r="G7" i="1" s="1"/>
  <c r="I6" i="1"/>
  <c r="F6" i="1" s="1"/>
  <c r="G6" i="1" s="1"/>
  <c r="I5" i="1"/>
  <c r="F5" i="1" s="1"/>
  <c r="G5" i="1" s="1"/>
  <c r="I4" i="1"/>
  <c r="F4" i="1" s="1"/>
  <c r="G4" i="1" s="1"/>
  <c r="I3" i="1"/>
  <c r="F3" i="1" s="1"/>
  <c r="G3" i="1" s="1"/>
  <c r="I2" i="1"/>
  <c r="F2" i="1" s="1"/>
  <c r="G2" i="1" s="1"/>
  <c r="J9" i="1" l="1"/>
  <c r="J8" i="1"/>
  <c r="M8" i="1" s="1"/>
  <c r="J7" i="1"/>
  <c r="M7" i="1" s="1"/>
  <c r="J6" i="1"/>
  <c r="J5" i="1"/>
  <c r="M5" i="1" s="1"/>
  <c r="J4" i="1"/>
  <c r="J3" i="1"/>
  <c r="M3" i="1" s="1"/>
  <c r="N5" i="1" l="1"/>
  <c r="M6" i="1"/>
  <c r="N6" i="1" s="1"/>
  <c r="N3" i="1"/>
  <c r="N7" i="1"/>
  <c r="N8" i="1"/>
  <c r="M9" i="1"/>
  <c r="N9" i="1" s="1"/>
  <c r="M4" i="1"/>
  <c r="N4" i="1" s="1"/>
  <c r="M2" i="1"/>
  <c r="N2" i="1" s="1"/>
  <c r="O9" i="1" l="1"/>
  <c r="Q9" i="1" s="1"/>
  <c r="R9" i="1" s="1"/>
  <c r="O5" i="1"/>
  <c r="Q5" i="1" s="1"/>
  <c r="R5" i="1" s="1"/>
  <c r="O7" i="1"/>
  <c r="Q7" i="1" s="1"/>
  <c r="R7" i="1" s="1"/>
  <c r="O8" i="1"/>
  <c r="Q8" i="1" s="1"/>
  <c r="R8" i="1" s="1"/>
  <c r="O6" i="1"/>
  <c r="Q6" i="1" s="1"/>
  <c r="R6" i="1" s="1"/>
  <c r="O3" i="1"/>
  <c r="Q3" i="1" s="1"/>
  <c r="R3" i="1" s="1"/>
  <c r="O4" i="1"/>
  <c r="Q4" i="1" s="1"/>
  <c r="R4" i="1" s="1"/>
  <c r="O2" i="1"/>
  <c r="Q2" i="1" s="1"/>
  <c r="R2" i="1" s="1"/>
</calcChain>
</file>

<file path=xl/sharedStrings.xml><?xml version="1.0" encoding="utf-8"?>
<sst xmlns="http://schemas.openxmlformats.org/spreadsheetml/2006/main" count="118" uniqueCount="91">
  <si>
    <t>Qtde</t>
  </si>
  <si>
    <t>Qtde S</t>
  </si>
  <si>
    <t>Preço S</t>
  </si>
  <si>
    <t>Proventos</t>
  </si>
  <si>
    <t>Entrada</t>
  </si>
  <si>
    <t>Saída</t>
  </si>
  <si>
    <t>IGTA3</t>
  </si>
  <si>
    <t>ABCB4</t>
  </si>
  <si>
    <t>Rompimento Semanal</t>
  </si>
  <si>
    <t>SCAR3</t>
  </si>
  <si>
    <t>KROT3</t>
  </si>
  <si>
    <t>KEPL3</t>
  </si>
  <si>
    <t>FLRY3</t>
  </si>
  <si>
    <t>Stop ATR20 multiplicador 3.5</t>
  </si>
  <si>
    <t>FESA4</t>
  </si>
  <si>
    <t>SLCE3</t>
  </si>
  <si>
    <t>Rompimento Diário</t>
  </si>
  <si>
    <t>Ação</t>
  </si>
  <si>
    <t>Data Compra</t>
  </si>
  <si>
    <t>Preço C</t>
  </si>
  <si>
    <t>Corretagem</t>
  </si>
  <si>
    <t>Taxas B3</t>
  </si>
  <si>
    <t>Data Venda</t>
  </si>
  <si>
    <t>Tipo Oper.</t>
  </si>
  <si>
    <t>TOTAL VENDA</t>
  </si>
  <si>
    <t>TOTAL COMPRA</t>
  </si>
  <si>
    <t>LUCRO</t>
  </si>
  <si>
    <t>LUCRO c/ PROV.</t>
  </si>
  <si>
    <t>LUCRO %</t>
  </si>
  <si>
    <t>Data</t>
  </si>
  <si>
    <t>Preço</t>
  </si>
  <si>
    <t>TOTAL</t>
  </si>
  <si>
    <t>Saldo</t>
  </si>
  <si>
    <t>Pr. Médio</t>
  </si>
  <si>
    <t>C</t>
  </si>
  <si>
    <t>V</t>
  </si>
  <si>
    <t>IRBR3</t>
  </si>
  <si>
    <t>C/V</t>
  </si>
  <si>
    <t>Lucro</t>
  </si>
  <si>
    <t>IR retido</t>
  </si>
  <si>
    <t>Perda Acum.</t>
  </si>
  <si>
    <t>Rend – Perd</t>
  </si>
  <si>
    <t>IR</t>
  </si>
  <si>
    <t>IR compensar</t>
  </si>
  <si>
    <t>IR a PAGAR</t>
  </si>
  <si>
    <t>Data Pagto</t>
  </si>
  <si>
    <t>Paga IR</t>
  </si>
  <si>
    <t>Total Vendas</t>
  </si>
  <si>
    <t>Mês</t>
  </si>
  <si>
    <t>Operações Normais em Ações</t>
  </si>
  <si>
    <t>acumulado</t>
  </si>
  <si>
    <t>N</t>
  </si>
  <si>
    <t>01/2019</t>
  </si>
  <si>
    <t>12/2018</t>
  </si>
  <si>
    <t>11/2018</t>
  </si>
  <si>
    <t>10/2018</t>
  </si>
  <si>
    <t>09/2018</t>
  </si>
  <si>
    <t>08/2018</t>
  </si>
  <si>
    <t>07/2018</t>
  </si>
  <si>
    <t>06/2018</t>
  </si>
  <si>
    <t>05/2018</t>
  </si>
  <si>
    <t>04/2018</t>
  </si>
  <si>
    <t>03/2018</t>
  </si>
  <si>
    <t>02/2018</t>
  </si>
  <si>
    <t>01/2018</t>
  </si>
  <si>
    <t>12/2017</t>
  </si>
  <si>
    <t>Valor Investido</t>
  </si>
  <si>
    <t>Rend. Ano</t>
  </si>
  <si>
    <t>Comp. IBOV</t>
  </si>
  <si>
    <t>Rend. IBOV</t>
  </si>
  <si>
    <t>IBOV</t>
  </si>
  <si>
    <t>Rendimento Líquido</t>
  </si>
  <si>
    <t>Rendimento Bruto</t>
  </si>
  <si>
    <t>Resgates</t>
  </si>
  <si>
    <t>Aplicações</t>
  </si>
  <si>
    <t>Valor</t>
  </si>
  <si>
    <t>Risco Total</t>
  </si>
  <si>
    <t>Risco atual:</t>
  </si>
  <si>
    <t>Stop atual:</t>
  </si>
  <si>
    <t>Ações compradas:</t>
  </si>
  <si>
    <t>Qtde ações:</t>
  </si>
  <si>
    <t>Total compra:</t>
  </si>
  <si>
    <t>Risco:</t>
  </si>
  <si>
    <t>Stop:</t>
  </si>
  <si>
    <t>Entrada:</t>
  </si>
  <si>
    <t>UNIP6</t>
  </si>
  <si>
    <t>TRIS3</t>
  </si>
  <si>
    <t>Ação:</t>
  </si>
  <si>
    <t>Risco por Operação:</t>
  </si>
  <si>
    <t>Capital Total:</t>
  </si>
  <si>
    <t>JSLG3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</si>
</sst>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R$&quot;\ #,##0.00;[Red]\-&quot;R$&quot;\ #,##0.00"/>
    <numFmt numFmtId="164" formatCode="[$R$-416]\ #,##0.00;[Red]\-[$R$-416]\ #,##0.00"/>
    <numFmt numFmtId="165" formatCode="#,##0.00%;[Red]\-#,##0.00%"/>
    <numFmt numFmtId="166" formatCode="dd/mm/yy;@"/>
    <numFmt numFmtId="167" formatCode="&quot;R$&quot;\ #,##0.00"/>
    <numFmt numFmtId="168" formatCode="mm/yyyy"/>
    <numFmt numFmtId="169" formatCode="&quot;R$ &quot;#,##0.00;[Red]&quot;- R$ &quot;#,##0.00"/>
    <numFmt numFmtId="170" formatCode="&quot;R$ &quot;#,##0.00"/>
    <numFmt numFmtId="171" formatCode="[Blue]\+#,##0.00%;[Red]\-#,##0.00%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rgb="FFFFC000"/>
        <bgColor indexed="3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thin">
        <color indexed="8"/>
      </bottom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hair">
        <color indexed="8"/>
      </bottom>
      <diagonal/>
    </border>
    <border>
      <left style="thin">
        <color indexed="64"/>
      </left>
      <right/>
      <top/>
      <bottom style="hair">
        <color indexed="8"/>
      </bottom>
      <diagonal/>
    </border>
    <border>
      <left/>
      <right style="hair">
        <color indexed="8"/>
      </right>
      <top/>
      <bottom style="thin">
        <color auto="1"/>
      </bottom>
      <diagonal/>
    </border>
    <border>
      <left/>
      <right style="hair">
        <color indexed="8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8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</borders>
  <cellStyleXfs count="3">
    <xf numFmtId="164" fontId="0" fillId="0" borderId="0"/>
    <xf numFmtId="0" fontId="1" fillId="0" borderId="0"/>
    <xf numFmtId="9" fontId="1" fillId="0" borderId="0" applyFont="0" applyFill="0" applyBorder="0" applyAlignment="0" applyProtection="0"/>
  </cellStyleXfs>
  <cellXfs count="116">
    <xf numFmtId="164" fontId="0" fillId="0" borderId="0" xfId="0"/>
    <xf numFmtId="164" fontId="2" fillId="0" borderId="0" xfId="0" applyFont="1"/>
    <xf numFmtId="166" fontId="2" fillId="0" borderId="0" xfId="0" applyNumberFormat="1" applyFont="1" applyAlignment="1">
      <alignment horizontal="center"/>
    </xf>
    <xf numFmtId="164" fontId="2" fillId="0" borderId="0" xfId="0" applyFont="1" applyAlignment="1">
      <alignment horizontal="center"/>
    </xf>
    <xf numFmtId="164" fontId="2" fillId="0" borderId="0" xfId="0" applyFont="1" applyAlignment="1">
      <alignment horizontal="left"/>
    </xf>
    <xf numFmtId="164" fontId="3" fillId="2" borderId="1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165" fontId="3" fillId="2" borderId="1" xfId="0" applyNumberFormat="1" applyFont="1" applyFill="1" applyBorder="1" applyAlignment="1">
      <alignment horizontal="center"/>
    </xf>
    <xf numFmtId="164" fontId="3" fillId="0" borderId="0" xfId="0" applyFont="1" applyAlignment="1">
      <alignment horizontal="center"/>
    </xf>
    <xf numFmtId="167" fontId="3" fillId="2" borderId="1" xfId="0" applyNumberFormat="1" applyFont="1" applyFill="1" applyBorder="1" applyAlignment="1">
      <alignment horizontal="center"/>
    </xf>
    <xf numFmtId="3" fontId="2" fillId="0" borderId="0" xfId="0" applyNumberFormat="1" applyFont="1" applyAlignment="1"/>
    <xf numFmtId="4" fontId="2" fillId="0" borderId="0" xfId="0" applyNumberFormat="1" applyFont="1" applyAlignment="1"/>
    <xf numFmtId="2" fontId="2" fillId="0" borderId="0" xfId="0" applyNumberFormat="1" applyFont="1" applyAlignment="1"/>
    <xf numFmtId="167" fontId="2" fillId="0" borderId="0" xfId="0" applyNumberFormat="1" applyFont="1" applyAlignment="1"/>
    <xf numFmtId="165" fontId="2" fillId="0" borderId="0" xfId="0" applyNumberFormat="1" applyFont="1" applyAlignment="1"/>
    <xf numFmtId="8" fontId="3" fillId="2" borderId="1" xfId="0" applyNumberFormat="1" applyFont="1" applyFill="1" applyBorder="1" applyAlignment="1">
      <alignment horizontal="center"/>
    </xf>
    <xf numFmtId="8" fontId="2" fillId="0" borderId="0" xfId="0" applyNumberFormat="1" applyFont="1" applyAlignment="1"/>
    <xf numFmtId="1" fontId="3" fillId="2" borderId="1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164" fontId="2" fillId="0" borderId="2" xfId="0" applyFont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164" fontId="2" fillId="0" borderId="2" xfId="0" applyFont="1" applyBorder="1"/>
    <xf numFmtId="164" fontId="2" fillId="0" borderId="3" xfId="0" applyFont="1" applyBorder="1" applyAlignment="1">
      <alignment horizontal="center"/>
    </xf>
    <xf numFmtId="166" fontId="2" fillId="0" borderId="3" xfId="0" applyNumberFormat="1" applyFont="1" applyBorder="1" applyAlignment="1">
      <alignment horizontal="center"/>
    </xf>
    <xf numFmtId="1" fontId="2" fillId="0" borderId="3" xfId="0" applyNumberFormat="1" applyFont="1" applyBorder="1" applyAlignment="1"/>
    <xf numFmtId="4" fontId="2" fillId="0" borderId="3" xfId="0" applyNumberFormat="1" applyFont="1" applyBorder="1" applyAlignment="1"/>
    <xf numFmtId="2" fontId="2" fillId="0" borderId="3" xfId="0" applyNumberFormat="1" applyFont="1" applyBorder="1" applyAlignment="1"/>
    <xf numFmtId="166" fontId="2" fillId="0" borderId="0" xfId="0" applyNumberFormat="1" applyFont="1" applyAlignment="1"/>
    <xf numFmtId="1" fontId="2" fillId="0" borderId="0" xfId="0" applyNumberFormat="1" applyFont="1" applyAlignment="1"/>
    <xf numFmtId="3" fontId="2" fillId="0" borderId="2" xfId="0" applyNumberFormat="1" applyFont="1" applyBorder="1" applyAlignment="1"/>
    <xf numFmtId="4" fontId="2" fillId="0" borderId="2" xfId="0" applyNumberFormat="1" applyFont="1" applyBorder="1" applyAlignment="1"/>
    <xf numFmtId="2" fontId="2" fillId="0" borderId="2" xfId="0" applyNumberFormat="1" applyFont="1" applyBorder="1" applyAlignment="1"/>
    <xf numFmtId="1" fontId="2" fillId="0" borderId="2" xfId="0" applyNumberFormat="1" applyFont="1" applyBorder="1" applyAlignment="1"/>
    <xf numFmtId="2" fontId="4" fillId="0" borderId="0" xfId="0" applyNumberFormat="1" applyFont="1" applyAlignment="1"/>
    <xf numFmtId="4" fontId="2" fillId="0" borderId="0" xfId="0" applyNumberFormat="1" applyFont="1" applyBorder="1" applyAlignment="1"/>
    <xf numFmtId="166" fontId="2" fillId="0" borderId="3" xfId="0" applyNumberFormat="1" applyFont="1" applyBorder="1" applyAlignment="1"/>
    <xf numFmtId="8" fontId="2" fillId="0" borderId="3" xfId="0" applyNumberFormat="1" applyFont="1" applyBorder="1" applyAlignment="1"/>
    <xf numFmtId="8" fontId="2" fillId="0" borderId="0" xfId="0" applyNumberFormat="1" applyFont="1" applyBorder="1" applyAlignment="1"/>
    <xf numFmtId="8" fontId="2" fillId="0" borderId="2" xfId="0" applyNumberFormat="1" applyFont="1" applyBorder="1" applyAlignment="1"/>
    <xf numFmtId="164" fontId="0" fillId="0" borderId="7" xfId="0" applyBorder="1"/>
    <xf numFmtId="169" fontId="6" fillId="3" borderId="9" xfId="0" applyNumberFormat="1" applyFont="1" applyFill="1" applyBorder="1" applyAlignment="1">
      <alignment horizontal="center"/>
    </xf>
    <xf numFmtId="164" fontId="6" fillId="3" borderId="8" xfId="0" applyFont="1" applyFill="1" applyBorder="1" applyAlignment="1">
      <alignment horizontal="center"/>
    </xf>
    <xf numFmtId="164" fontId="5" fillId="3" borderId="8" xfId="0" applyFont="1" applyFill="1" applyBorder="1" applyAlignment="1">
      <alignment horizontal="center"/>
    </xf>
    <xf numFmtId="164" fontId="2" fillId="0" borderId="7" xfId="0" applyFont="1" applyBorder="1"/>
    <xf numFmtId="168" fontId="2" fillId="0" borderId="6" xfId="0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169" fontId="2" fillId="0" borderId="7" xfId="0" applyNumberFormat="1" applyFont="1" applyBorder="1"/>
    <xf numFmtId="168" fontId="2" fillId="0" borderId="10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168" fontId="2" fillId="0" borderId="11" xfId="0" applyNumberFormat="1" applyFont="1" applyBorder="1" applyAlignment="1">
      <alignment horizontal="center"/>
    </xf>
    <xf numFmtId="164" fontId="2" fillId="0" borderId="12" xfId="0" applyFont="1" applyBorder="1"/>
    <xf numFmtId="14" fontId="2" fillId="0" borderId="12" xfId="0" applyNumberFormat="1" applyFont="1" applyBorder="1" applyAlignment="1">
      <alignment horizontal="center"/>
    </xf>
    <xf numFmtId="164" fontId="2" fillId="0" borderId="0" xfId="0" applyFont="1" applyBorder="1"/>
    <xf numFmtId="164" fontId="2" fillId="0" borderId="13" xfId="0" applyFont="1" applyBorder="1" applyAlignment="1">
      <alignment horizontal="center"/>
    </xf>
    <xf numFmtId="167" fontId="2" fillId="0" borderId="14" xfId="0" applyNumberFormat="1" applyFont="1" applyBorder="1"/>
    <xf numFmtId="169" fontId="2" fillId="0" borderId="0" xfId="0" applyNumberFormat="1" applyFont="1"/>
    <xf numFmtId="165" fontId="2" fillId="0" borderId="0" xfId="0" applyNumberFormat="1" applyFont="1"/>
    <xf numFmtId="169" fontId="2" fillId="0" borderId="0" xfId="0" applyNumberFormat="1" applyFont="1" applyAlignment="1">
      <alignment horizontal="center"/>
    </xf>
    <xf numFmtId="170" fontId="2" fillId="0" borderId="0" xfId="0" applyNumberFormat="1" applyFont="1"/>
    <xf numFmtId="171" fontId="2" fillId="0" borderId="0" xfId="0" applyNumberFormat="1" applyFont="1"/>
    <xf numFmtId="3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167" fontId="2" fillId="0" borderId="15" xfId="0" applyNumberFormat="1" applyFont="1" applyBorder="1"/>
    <xf numFmtId="169" fontId="2" fillId="0" borderId="16" xfId="0" applyNumberFormat="1" applyFont="1" applyBorder="1"/>
    <xf numFmtId="165" fontId="2" fillId="0" borderId="16" xfId="0" applyNumberFormat="1" applyFont="1" applyBorder="1"/>
    <xf numFmtId="171" fontId="2" fillId="0" borderId="16" xfId="0" applyNumberFormat="1" applyFont="1" applyBorder="1"/>
    <xf numFmtId="165" fontId="2" fillId="0" borderId="16" xfId="0" applyNumberFormat="1" applyFont="1" applyBorder="1" applyAlignment="1">
      <alignment horizontal="center"/>
    </xf>
    <xf numFmtId="3" fontId="2" fillId="0" borderId="16" xfId="0" applyNumberFormat="1" applyFont="1" applyBorder="1" applyAlignment="1">
      <alignment horizontal="center"/>
    </xf>
    <xf numFmtId="169" fontId="2" fillId="0" borderId="16" xfId="0" applyNumberFormat="1" applyFont="1" applyBorder="1" applyAlignment="1">
      <alignment horizontal="center"/>
    </xf>
    <xf numFmtId="164" fontId="2" fillId="0" borderId="16" xfId="0" applyFont="1" applyBorder="1" applyAlignment="1">
      <alignment horizontal="center"/>
    </xf>
    <xf numFmtId="170" fontId="2" fillId="0" borderId="16" xfId="0" applyNumberFormat="1" applyFont="1" applyBorder="1"/>
    <xf numFmtId="164" fontId="2" fillId="0" borderId="16" xfId="0" applyFont="1" applyBorder="1"/>
    <xf numFmtId="49" fontId="2" fillId="0" borderId="16" xfId="0" applyNumberFormat="1" applyFont="1" applyBorder="1" applyAlignment="1">
      <alignment horizontal="center"/>
    </xf>
    <xf numFmtId="171" fontId="2" fillId="4" borderId="0" xfId="0" applyNumberFormat="1" applyFont="1" applyFill="1"/>
    <xf numFmtId="165" fontId="2" fillId="5" borderId="0" xfId="0" applyNumberFormat="1" applyFont="1" applyFill="1" applyAlignment="1">
      <alignment horizontal="center"/>
    </xf>
    <xf numFmtId="165" fontId="2" fillId="6" borderId="0" xfId="0" applyNumberFormat="1" applyFont="1" applyFill="1" applyAlignment="1">
      <alignment horizontal="center"/>
    </xf>
    <xf numFmtId="171" fontId="2" fillId="4" borderId="16" xfId="0" applyNumberFormat="1" applyFont="1" applyFill="1" applyBorder="1"/>
    <xf numFmtId="165" fontId="2" fillId="5" borderId="16" xfId="0" applyNumberFormat="1" applyFont="1" applyFill="1" applyBorder="1" applyAlignment="1">
      <alignment horizontal="center"/>
    </xf>
    <xf numFmtId="165" fontId="2" fillId="6" borderId="16" xfId="0" applyNumberFormat="1" applyFont="1" applyFill="1" applyBorder="1" applyAlignment="1">
      <alignment horizontal="center"/>
    </xf>
    <xf numFmtId="170" fontId="2" fillId="0" borderId="16" xfId="0" applyNumberFormat="1" applyFont="1" applyBorder="1" applyAlignment="1">
      <alignment wrapText="1"/>
    </xf>
    <xf numFmtId="167" fontId="5" fillId="7" borderId="17" xfId="0" applyNumberFormat="1" applyFont="1" applyFill="1" applyBorder="1" applyAlignment="1">
      <alignment horizontal="center"/>
    </xf>
    <xf numFmtId="165" fontId="5" fillId="7" borderId="17" xfId="0" applyNumberFormat="1" applyFont="1" applyFill="1" applyBorder="1" applyAlignment="1">
      <alignment horizontal="center"/>
    </xf>
    <xf numFmtId="165" fontId="8" fillId="8" borderId="17" xfId="0" applyNumberFormat="1" applyFont="1" applyFill="1" applyBorder="1" applyAlignment="1">
      <alignment horizontal="center"/>
    </xf>
    <xf numFmtId="165" fontId="5" fillId="7" borderId="18" xfId="0" applyNumberFormat="1" applyFont="1" applyFill="1" applyBorder="1" applyAlignment="1">
      <alignment horizontal="center"/>
    </xf>
    <xf numFmtId="164" fontId="5" fillId="7" borderId="17" xfId="0" applyFont="1" applyFill="1" applyBorder="1" applyAlignment="1">
      <alignment horizontal="center"/>
    </xf>
    <xf numFmtId="0" fontId="1" fillId="9" borderId="0" xfId="1" applyFill="1"/>
    <xf numFmtId="10" fontId="1" fillId="10" borderId="20" xfId="1" applyNumberFormat="1" applyFill="1" applyBorder="1"/>
    <xf numFmtId="0" fontId="7" fillId="9" borderId="21" xfId="1" applyFont="1" applyFill="1" applyBorder="1"/>
    <xf numFmtId="10" fontId="0" fillId="10" borderId="20" xfId="2" applyNumberFormat="1" applyFont="1" applyFill="1" applyBorder="1"/>
    <xf numFmtId="0" fontId="7" fillId="9" borderId="20" xfId="1" applyFont="1" applyFill="1" applyBorder="1"/>
    <xf numFmtId="0" fontId="7" fillId="9" borderId="22" xfId="1" applyFont="1" applyFill="1" applyBorder="1"/>
    <xf numFmtId="1" fontId="1" fillId="11" borderId="20" xfId="1" applyNumberFormat="1" applyFill="1" applyBorder="1"/>
    <xf numFmtId="167" fontId="1" fillId="11" borderId="22" xfId="1" applyNumberFormat="1" applyFill="1" applyBorder="1"/>
    <xf numFmtId="10" fontId="0" fillId="10" borderId="22" xfId="2" applyNumberFormat="1" applyFont="1" applyFill="1" applyBorder="1"/>
    <xf numFmtId="2" fontId="1" fillId="9" borderId="22" xfId="1" applyNumberFormat="1" applyFill="1" applyBorder="1"/>
    <xf numFmtId="2" fontId="1" fillId="9" borderId="21" xfId="1" applyNumberFormat="1" applyFill="1" applyBorder="1"/>
    <xf numFmtId="0" fontId="7" fillId="9" borderId="23" xfId="1" applyFont="1" applyFill="1" applyBorder="1" applyAlignment="1">
      <alignment horizontal="center"/>
    </xf>
    <xf numFmtId="0" fontId="7" fillId="9" borderId="23" xfId="1" applyFont="1" applyFill="1" applyBorder="1"/>
    <xf numFmtId="167" fontId="1" fillId="10" borderId="0" xfId="1" applyNumberFormat="1" applyFill="1"/>
    <xf numFmtId="0" fontId="7" fillId="9" borderId="0" xfId="1" applyFont="1" applyFill="1"/>
    <xf numFmtId="9" fontId="0" fillId="9" borderId="0" xfId="2" applyFont="1" applyFill="1"/>
    <xf numFmtId="167" fontId="1" fillId="9" borderId="0" xfId="1" applyNumberFormat="1" applyFill="1"/>
    <xf numFmtId="1" fontId="1" fillId="9" borderId="21" xfId="1" applyNumberFormat="1" applyFill="1" applyBorder="1"/>
    <xf numFmtId="165" fontId="5" fillId="7" borderId="19" xfId="0" applyNumberFormat="1" applyFont="1" applyFill="1" applyBorder="1" applyAlignment="1">
      <alignment horizontal="center"/>
    </xf>
    <xf numFmtId="165" fontId="5" fillId="7" borderId="18" xfId="0" applyNumberFormat="1" applyFont="1" applyFill="1" applyBorder="1" applyAlignment="1">
      <alignment horizontal="center"/>
    </xf>
    <xf numFmtId="168" fontId="6" fillId="2" borderId="4" xfId="0" applyNumberFormat="1" applyFont="1" applyFill="1" applyBorder="1" applyAlignment="1">
      <alignment horizontal="center" vertical="center"/>
    </xf>
    <xf numFmtId="169" fontId="3" fillId="3" borderId="5" xfId="0" applyNumberFormat="1" applyFont="1" applyFill="1" applyBorder="1" applyAlignment="1">
      <alignment horizontal="center"/>
    </xf>
    <xf numFmtId="169" fontId="3" fillId="3" borderId="0" xfId="0" applyNumberFormat="1" applyFont="1" applyFill="1" applyAlignment="1">
      <alignment horizontal="center"/>
    </xf>
    <xf numFmtId="165" fontId="2" fillId="6" borderId="0" xfId="0" applyNumberFormat="1" applyFont="1" applyFill="1" applyBorder="1" applyAlignment="1">
      <alignment horizontal="center"/>
    </xf>
    <xf numFmtId="164" fontId="2" fillId="0" borderId="0" xfId="0" applyFont="1" applyBorder="1" applyAlignment="1">
      <alignment horizontal="center"/>
    </xf>
    <xf numFmtId="169" fontId="2" fillId="0" borderId="0" xfId="0" applyNumberFormat="1" applyFont="1" applyBorder="1" applyAlignment="1">
      <alignment horizontal="center"/>
    </xf>
    <xf numFmtId="169" fontId="2" fillId="0" borderId="24" xfId="0" applyNumberFormat="1" applyFont="1" applyBorder="1" applyAlignment="1">
      <alignment horizontal="center"/>
    </xf>
  </cellXfs>
  <cellStyles count="3">
    <cellStyle name="Normal" xfId="0" builtinId="0"/>
    <cellStyle name="Normal 2" xfId="1" xr:uid="{8DD6CF73-E37E-4378-B993-F4E826D5A9A3}"/>
    <cellStyle name="Porcentagem 2" xfId="2" xr:uid="{6FD1D8B0-AA4B-432D-BDEA-2B9AA094B6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AA1F8-6123-46F1-8425-AF479B24B6A8}">
  <sheetPr codeName="Sheet1"/>
  <dimension ref="A1:T9"/>
  <sheetViews>
    <sheetView tabSelected="1" workbookViewId="0">
      <pane ySplit="1" topLeftCell="A2" activePane="bottomLeft" state="frozen"/>
      <selection pane="bottomLeft" activeCell="A10" sqref="A10"/>
    </sheetView>
  </sheetViews>
  <sheetFormatPr defaultColWidth="9.28515625" defaultRowHeight="15" x14ac:dyDescent="0.25"/>
  <cols>
    <col min="1" max="1" width="13" style="2" customWidth="1"/>
    <col min="2" max="2" width="9.7109375" style="3" customWidth="1"/>
    <col min="3" max="3" width="7.85546875" style="12" customWidth="1"/>
    <col min="4" max="4" width="9.28515625" style="13" customWidth="1"/>
    <col min="5" max="5" width="11.42578125" style="14" bestFit="1" customWidth="1"/>
    <col min="6" max="6" width="10.5703125" style="14" customWidth="1"/>
    <col min="7" max="7" width="15.28515625" style="15" customWidth="1"/>
    <col min="8" max="8" width="13" style="2" customWidth="1"/>
    <col min="9" max="9" width="11" style="2" customWidth="1"/>
    <col min="10" max="10" width="8.140625" style="12" customWidth="1"/>
    <col min="11" max="11" width="9" style="14" customWidth="1"/>
    <col min="12" max="12" width="11.42578125" style="14" bestFit="1" customWidth="1"/>
    <col min="13" max="13" width="9.5703125" style="14" customWidth="1"/>
    <col min="14" max="14" width="15.28515625" style="15" customWidth="1"/>
    <col min="15" max="15" width="14.140625" style="18" customWidth="1"/>
    <col min="16" max="16" width="11.140625" style="13" customWidth="1"/>
    <col min="17" max="17" width="15.28515625" style="18" bestFit="1" customWidth="1"/>
    <col min="18" max="18" width="11.85546875" style="16" customWidth="1"/>
    <col min="19" max="19" width="27.42578125" style="4" customWidth="1"/>
    <col min="20" max="20" width="29.85546875" style="4" customWidth="1"/>
    <col min="21" max="16384" width="9.28515625" style="1"/>
  </cols>
  <sheetData>
    <row r="1" spans="1:20" s="10" customFormat="1" x14ac:dyDescent="0.25">
      <c r="A1" s="5" t="s">
        <v>18</v>
      </c>
      <c r="B1" s="5" t="s">
        <v>17</v>
      </c>
      <c r="C1" s="6" t="s">
        <v>0</v>
      </c>
      <c r="D1" s="7" t="s">
        <v>19</v>
      </c>
      <c r="E1" s="5" t="s">
        <v>20</v>
      </c>
      <c r="F1" s="5" t="s">
        <v>21</v>
      </c>
      <c r="G1" s="11" t="s">
        <v>25</v>
      </c>
      <c r="H1" s="5" t="s">
        <v>22</v>
      </c>
      <c r="I1" s="5" t="s">
        <v>23</v>
      </c>
      <c r="J1" s="6" t="s">
        <v>1</v>
      </c>
      <c r="K1" s="8" t="s">
        <v>2</v>
      </c>
      <c r="L1" s="5" t="s">
        <v>20</v>
      </c>
      <c r="M1" s="5" t="s">
        <v>21</v>
      </c>
      <c r="N1" s="11" t="s">
        <v>24</v>
      </c>
      <c r="O1" s="17" t="s">
        <v>26</v>
      </c>
      <c r="P1" s="7" t="s">
        <v>3</v>
      </c>
      <c r="Q1" s="17" t="s">
        <v>27</v>
      </c>
      <c r="R1" s="9" t="s">
        <v>28</v>
      </c>
      <c r="S1" s="5" t="s">
        <v>4</v>
      </c>
      <c r="T1" s="5" t="s">
        <v>5</v>
      </c>
    </row>
    <row r="2" spans="1:20" x14ac:dyDescent="0.25">
      <c r="A2" s="2">
        <v>43467</v>
      </c>
      <c r="B2" s="3" t="s">
        <v>12</v>
      </c>
      <c r="C2" s="12">
        <v>2000</v>
      </c>
      <c r="D2" s="13">
        <v>4.2858999999999998</v>
      </c>
      <c r="E2" s="14">
        <v>10.5</v>
      </c>
      <c r="F2" s="14">
        <f t="shared" ref="F2:F9" si="0">IF(I2="Daytrade",(C2*D2*0.00025),(C2*D2*0.000325))</f>
        <v>2.7858349999999996</v>
      </c>
      <c r="G2" s="15">
        <f>C2*D2+E2+F2</f>
        <v>8585.0858349999999</v>
      </c>
      <c r="H2" s="2">
        <v>43814</v>
      </c>
      <c r="I2" s="2" t="str">
        <f t="shared" ref="I2:I9" si="1">IF(H2=A2,"Daytrade","Comum")</f>
        <v>Comum</v>
      </c>
      <c r="J2" s="12">
        <f t="shared" ref="J2:J9" si="2">C2</f>
        <v>2000</v>
      </c>
      <c r="K2" s="14">
        <v>12.3</v>
      </c>
      <c r="L2" s="14">
        <v>10.5</v>
      </c>
      <c r="M2" s="14">
        <f>IF(I2="Daytrade",(J2*K2*0.00025),(J2*K2*0.000325))</f>
        <v>7.9949999999999992</v>
      </c>
      <c r="N2" s="15">
        <f>J2*K2-L2-M2</f>
        <v>24581.505000000001</v>
      </c>
      <c r="O2" s="18">
        <f t="shared" ref="O2:O9" si="3">N2-G2</f>
        <v>15996.419165000001</v>
      </c>
      <c r="P2" s="13">
        <v>258.12</v>
      </c>
      <c r="Q2" s="18">
        <f>O2+P2</f>
        <v>16254.539165000002</v>
      </c>
      <c r="R2" s="16">
        <f t="shared" ref="R2:R8" si="4">Q2/G2</f>
        <v>1.8933461443953055</v>
      </c>
      <c r="S2" s="1" t="s">
        <v>8</v>
      </c>
      <c r="T2" s="4" t="s">
        <v>13</v>
      </c>
    </row>
    <row r="3" spans="1:20" x14ac:dyDescent="0.25">
      <c r="A3" s="2">
        <v>43483</v>
      </c>
      <c r="B3" s="3" t="s">
        <v>7</v>
      </c>
      <c r="C3" s="12">
        <v>1500</v>
      </c>
      <c r="D3" s="13">
        <v>6.62</v>
      </c>
      <c r="E3" s="14">
        <v>10.5</v>
      </c>
      <c r="F3" s="14">
        <f t="shared" si="0"/>
        <v>3.2272499999999997</v>
      </c>
      <c r="G3" s="15">
        <f t="shared" ref="G3:G9" si="5">C3*D3+E3+F3</f>
        <v>9943.7272499999999</v>
      </c>
      <c r="H3" s="2">
        <v>43503</v>
      </c>
      <c r="I3" s="2" t="str">
        <f t="shared" si="1"/>
        <v>Comum</v>
      </c>
      <c r="J3" s="12">
        <f t="shared" si="2"/>
        <v>1500</v>
      </c>
      <c r="K3" s="14">
        <v>5.99</v>
      </c>
      <c r="L3" s="14">
        <v>10.5</v>
      </c>
      <c r="M3" s="14">
        <f t="shared" ref="M3:M9" si="6">IF(I3="Daytrade",(J3*K3*0.00025),(J3*K3*0.000325))</f>
        <v>2.9201250000000001</v>
      </c>
      <c r="N3" s="15">
        <f t="shared" ref="N3:N9" si="7">J3*K3-L3-M3</f>
        <v>8971.5798749999994</v>
      </c>
      <c r="O3" s="18">
        <f t="shared" si="3"/>
        <v>-972.14737500000047</v>
      </c>
      <c r="Q3" s="18">
        <f t="shared" ref="Q3:Q9" si="8">O3+P3</f>
        <v>-972.14737500000047</v>
      </c>
      <c r="R3" s="16">
        <f t="shared" si="4"/>
        <v>-9.7764887406782047E-2</v>
      </c>
      <c r="S3" s="1" t="s">
        <v>8</v>
      </c>
      <c r="T3" s="4" t="s">
        <v>13</v>
      </c>
    </row>
    <row r="4" spans="1:20" x14ac:dyDescent="0.25">
      <c r="A4" s="2">
        <v>43501</v>
      </c>
      <c r="B4" s="3" t="s">
        <v>14</v>
      </c>
      <c r="C4" s="12">
        <v>5100</v>
      </c>
      <c r="D4" s="13">
        <v>2.12</v>
      </c>
      <c r="E4" s="14">
        <v>10.5</v>
      </c>
      <c r="F4" s="14">
        <f t="shared" si="0"/>
        <v>3.5139</v>
      </c>
      <c r="G4" s="15">
        <f t="shared" si="5"/>
        <v>10826.0139</v>
      </c>
      <c r="H4" s="2">
        <v>43730</v>
      </c>
      <c r="I4" s="2" t="str">
        <f t="shared" si="1"/>
        <v>Comum</v>
      </c>
      <c r="J4" s="12">
        <f t="shared" si="2"/>
        <v>5100</v>
      </c>
      <c r="K4" s="14">
        <v>3.51</v>
      </c>
      <c r="L4" s="14">
        <v>10.5</v>
      </c>
      <c r="M4" s="14">
        <f t="shared" si="6"/>
        <v>5.817825</v>
      </c>
      <c r="N4" s="15">
        <f t="shared" si="7"/>
        <v>17884.682175000002</v>
      </c>
      <c r="O4" s="18">
        <f t="shared" si="3"/>
        <v>7058.6682750000018</v>
      </c>
      <c r="P4" s="13">
        <v>93.71</v>
      </c>
      <c r="Q4" s="18">
        <f t="shared" si="8"/>
        <v>7152.3782750000018</v>
      </c>
      <c r="R4" s="16">
        <f t="shared" si="4"/>
        <v>0.66066590538924042</v>
      </c>
      <c r="S4" s="1" t="s">
        <v>8</v>
      </c>
      <c r="T4" s="4" t="s">
        <v>13</v>
      </c>
    </row>
    <row r="5" spans="1:20" x14ac:dyDescent="0.25">
      <c r="A5" s="2">
        <v>43508</v>
      </c>
      <c r="B5" s="3" t="s">
        <v>11</v>
      </c>
      <c r="C5" s="12">
        <v>1000</v>
      </c>
      <c r="D5" s="13">
        <v>15.51</v>
      </c>
      <c r="E5" s="14">
        <v>10.5</v>
      </c>
      <c r="F5" s="14">
        <f t="shared" si="0"/>
        <v>5.0407500000000001</v>
      </c>
      <c r="G5" s="15">
        <f t="shared" si="5"/>
        <v>15525.54075</v>
      </c>
      <c r="H5" s="2">
        <v>43623</v>
      </c>
      <c r="I5" s="2" t="str">
        <f t="shared" si="1"/>
        <v>Comum</v>
      </c>
      <c r="J5" s="12">
        <f t="shared" si="2"/>
        <v>1000</v>
      </c>
      <c r="K5" s="14">
        <v>23.88</v>
      </c>
      <c r="L5" s="14">
        <v>10.5</v>
      </c>
      <c r="M5" s="14">
        <f t="shared" si="6"/>
        <v>7.7609999999999992</v>
      </c>
      <c r="N5" s="15">
        <f t="shared" si="7"/>
        <v>23861.739000000001</v>
      </c>
      <c r="O5" s="18">
        <f t="shared" si="3"/>
        <v>8336.1982500000013</v>
      </c>
      <c r="P5" s="13">
        <v>279.39999999999998</v>
      </c>
      <c r="Q5" s="18">
        <f t="shared" si="8"/>
        <v>8615.5982500000009</v>
      </c>
      <c r="R5" s="16">
        <f t="shared" si="4"/>
        <v>0.5549306390503661</v>
      </c>
      <c r="S5" s="1" t="s">
        <v>16</v>
      </c>
      <c r="T5" s="4" t="s">
        <v>13</v>
      </c>
    </row>
    <row r="6" spans="1:20" x14ac:dyDescent="0.25">
      <c r="A6" s="2">
        <v>43529</v>
      </c>
      <c r="B6" s="3" t="s">
        <v>10</v>
      </c>
      <c r="C6" s="12">
        <v>100</v>
      </c>
      <c r="D6" s="13">
        <v>91.04</v>
      </c>
      <c r="E6" s="14">
        <v>10.5</v>
      </c>
      <c r="F6" s="14">
        <f t="shared" si="0"/>
        <v>2.9587999999999997</v>
      </c>
      <c r="G6" s="15">
        <f t="shared" si="5"/>
        <v>9117.4588000000003</v>
      </c>
      <c r="H6" s="2">
        <v>43641</v>
      </c>
      <c r="I6" s="2" t="str">
        <f t="shared" si="1"/>
        <v>Comum</v>
      </c>
      <c r="J6" s="12">
        <f t="shared" si="2"/>
        <v>100</v>
      </c>
      <c r="K6" s="14">
        <v>101.13</v>
      </c>
      <c r="L6" s="14">
        <v>10.5</v>
      </c>
      <c r="M6" s="14">
        <f t="shared" si="6"/>
        <v>3.2867249999999997</v>
      </c>
      <c r="N6" s="15">
        <f t="shared" si="7"/>
        <v>10099.213275</v>
      </c>
      <c r="O6" s="18">
        <f t="shared" si="3"/>
        <v>981.75447499999973</v>
      </c>
      <c r="Q6" s="18">
        <f t="shared" si="8"/>
        <v>981.75447499999973</v>
      </c>
      <c r="R6" s="16">
        <f t="shared" si="4"/>
        <v>0.10767852057636934</v>
      </c>
      <c r="S6" s="1" t="s">
        <v>8</v>
      </c>
      <c r="T6" s="4" t="s">
        <v>13</v>
      </c>
    </row>
    <row r="7" spans="1:20" x14ac:dyDescent="0.25">
      <c r="A7" s="2">
        <v>43565</v>
      </c>
      <c r="B7" s="3" t="s">
        <v>9</v>
      </c>
      <c r="C7" s="12">
        <v>1400</v>
      </c>
      <c r="D7" s="13">
        <v>8.8800000000000008</v>
      </c>
      <c r="E7" s="14">
        <v>10.5</v>
      </c>
      <c r="F7" s="14">
        <f t="shared" si="0"/>
        <v>4.0404</v>
      </c>
      <c r="G7" s="15">
        <f t="shared" si="5"/>
        <v>12446.540400000002</v>
      </c>
      <c r="H7" s="2">
        <v>43589</v>
      </c>
      <c r="I7" s="2" t="str">
        <f t="shared" si="1"/>
        <v>Comum</v>
      </c>
      <c r="J7" s="12">
        <f t="shared" si="2"/>
        <v>1400</v>
      </c>
      <c r="K7" s="14">
        <v>8.19</v>
      </c>
      <c r="L7" s="14">
        <v>10.5</v>
      </c>
      <c r="M7" s="14">
        <f t="shared" si="6"/>
        <v>3.7264499999999998</v>
      </c>
      <c r="N7" s="15">
        <f t="shared" si="7"/>
        <v>11451.77355</v>
      </c>
      <c r="O7" s="18">
        <f t="shared" si="3"/>
        <v>-994.7668500000018</v>
      </c>
      <c r="Q7" s="18">
        <f t="shared" si="8"/>
        <v>-994.7668500000018</v>
      </c>
      <c r="R7" s="16">
        <f t="shared" si="4"/>
        <v>-7.9923160816639596E-2</v>
      </c>
      <c r="S7" s="1" t="s">
        <v>8</v>
      </c>
      <c r="T7" s="4" t="s">
        <v>13</v>
      </c>
    </row>
    <row r="8" spans="1:20" x14ac:dyDescent="0.25">
      <c r="A8" s="2">
        <v>43575</v>
      </c>
      <c r="B8" s="3" t="s">
        <v>15</v>
      </c>
      <c r="C8" s="12">
        <v>1500</v>
      </c>
      <c r="D8" s="13">
        <v>10.48</v>
      </c>
      <c r="E8" s="14">
        <v>10.5</v>
      </c>
      <c r="F8" s="14">
        <f t="shared" si="0"/>
        <v>5.109</v>
      </c>
      <c r="G8" s="15">
        <f t="shared" si="5"/>
        <v>15735.609</v>
      </c>
      <c r="H8" s="2">
        <v>43749</v>
      </c>
      <c r="I8" s="2" t="str">
        <f t="shared" si="1"/>
        <v>Comum</v>
      </c>
      <c r="J8" s="12">
        <f t="shared" si="2"/>
        <v>1500</v>
      </c>
      <c r="K8" s="14">
        <v>14.9</v>
      </c>
      <c r="L8" s="14">
        <v>10.5</v>
      </c>
      <c r="M8" s="14">
        <f t="shared" si="6"/>
        <v>7.2637499999999999</v>
      </c>
      <c r="N8" s="15">
        <f t="shared" si="7"/>
        <v>22332.236250000002</v>
      </c>
      <c r="O8" s="18">
        <f t="shared" si="3"/>
        <v>6596.6272500000014</v>
      </c>
      <c r="Q8" s="18">
        <f t="shared" si="8"/>
        <v>6596.6272500000014</v>
      </c>
      <c r="R8" s="16">
        <f t="shared" si="4"/>
        <v>0.4192165203138945</v>
      </c>
      <c r="S8" s="1" t="s">
        <v>16</v>
      </c>
      <c r="T8" s="4" t="s">
        <v>13</v>
      </c>
    </row>
    <row r="9" spans="1:20" x14ac:dyDescent="0.25">
      <c r="A9" s="2">
        <v>43623</v>
      </c>
      <c r="B9" s="3" t="s">
        <v>6</v>
      </c>
      <c r="C9" s="12">
        <v>1600</v>
      </c>
      <c r="D9" s="13">
        <v>9.15</v>
      </c>
      <c r="E9" s="14">
        <v>10.5</v>
      </c>
      <c r="F9" s="14">
        <f t="shared" si="0"/>
        <v>4.758</v>
      </c>
      <c r="G9" s="15">
        <f t="shared" si="5"/>
        <v>14655.258</v>
      </c>
      <c r="H9" s="2">
        <v>43887</v>
      </c>
      <c r="I9" s="2" t="str">
        <f t="shared" si="1"/>
        <v>Comum</v>
      </c>
      <c r="J9" s="12">
        <f t="shared" si="2"/>
        <v>1600</v>
      </c>
      <c r="K9" s="14">
        <v>19.579999999999998</v>
      </c>
      <c r="L9" s="14">
        <v>10.5</v>
      </c>
      <c r="M9" s="14">
        <f t="shared" si="6"/>
        <v>10.181599999999998</v>
      </c>
      <c r="N9" s="15">
        <f t="shared" si="7"/>
        <v>31307.318399999996</v>
      </c>
      <c r="O9" s="18">
        <f t="shared" si="3"/>
        <v>16652.060399999995</v>
      </c>
      <c r="P9" s="13">
        <v>124.43</v>
      </c>
      <c r="Q9" s="18">
        <f t="shared" si="8"/>
        <v>16776.490399999995</v>
      </c>
      <c r="R9" s="16">
        <f t="shared" ref="R9" si="9">Q9/G9</f>
        <v>1.144742071412185</v>
      </c>
      <c r="S9" s="1" t="s">
        <v>8</v>
      </c>
      <c r="T9" s="4" t="s">
        <v>13</v>
      </c>
    </row>
  </sheetData>
  <pageMargins left="0.74791666666666667" right="0.74791666666666667" top="0.98402777777777783" bottom="0.98402777777777783" header="0.51180555555555562" footer="0.51180555555555562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86876-6BC8-481C-AC27-E97D21F74E0B}">
  <sheetPr codeName="Sheet7"/>
  <dimension ref="A1:Q10"/>
  <sheetViews>
    <sheetView workbookViewId="0">
      <pane ySplit="1" topLeftCell="A2" activePane="bottomLeft" state="frozen"/>
      <selection pane="bottomLeft" activeCell="E13" sqref="E13"/>
    </sheetView>
  </sheetViews>
  <sheetFormatPr defaultColWidth="9.28515625" defaultRowHeight="15" x14ac:dyDescent="0.25"/>
  <cols>
    <col min="1" max="1" width="9.28515625" style="1"/>
    <col min="2" max="2" width="10.7109375" style="2" customWidth="1"/>
    <col min="3" max="3" width="5.7109375" style="3" bestFit="1" customWidth="1"/>
    <col min="4" max="4" width="7.85546875" style="32" customWidth="1"/>
    <col min="5" max="5" width="9.7109375" style="13" customWidth="1"/>
    <col min="6" max="6" width="11.42578125" style="14" bestFit="1" customWidth="1"/>
    <col min="7" max="7" width="11.42578125" style="14" customWidth="1"/>
    <col min="8" max="8" width="10.7109375" style="14" customWidth="1"/>
    <col min="9" max="9" width="8.5703125" style="31" customWidth="1"/>
    <col min="10" max="10" width="10.7109375" style="31" bestFit="1" customWidth="1"/>
    <col min="11" max="11" width="14" style="18" customWidth="1"/>
    <col min="12" max="13" width="10.140625" style="22" customWidth="1"/>
    <col min="14" max="14" width="11" style="21" customWidth="1"/>
    <col min="15" max="15" width="10.7109375" style="20" customWidth="1"/>
    <col min="16" max="16" width="9.28515625" style="1"/>
    <col min="17" max="17" width="11.42578125" style="1" bestFit="1" customWidth="1"/>
    <col min="18" max="16384" width="9.28515625" style="1"/>
  </cols>
  <sheetData>
    <row r="1" spans="1:17" s="3" customFormat="1" x14ac:dyDescent="0.25">
      <c r="A1" s="5" t="s">
        <v>17</v>
      </c>
      <c r="B1" s="5" t="s">
        <v>29</v>
      </c>
      <c r="C1" s="5" t="s">
        <v>37</v>
      </c>
      <c r="D1" s="19" t="s">
        <v>0</v>
      </c>
      <c r="E1" s="7" t="s">
        <v>30</v>
      </c>
      <c r="F1" s="5" t="s">
        <v>20</v>
      </c>
      <c r="G1" s="5" t="s">
        <v>21</v>
      </c>
      <c r="H1" s="5" t="s">
        <v>31</v>
      </c>
      <c r="I1" s="5" t="s">
        <v>32</v>
      </c>
      <c r="J1" s="5" t="s">
        <v>33</v>
      </c>
      <c r="K1" s="17" t="s">
        <v>38</v>
      </c>
    </row>
    <row r="2" spans="1:17" x14ac:dyDescent="0.25">
      <c r="A2" s="26"/>
      <c r="B2" s="27"/>
      <c r="C2" s="26"/>
      <c r="D2" s="28"/>
      <c r="E2" s="29"/>
      <c r="F2" s="30"/>
      <c r="G2" s="30"/>
      <c r="H2" s="29"/>
      <c r="I2" s="39"/>
      <c r="J2" s="39"/>
      <c r="K2" s="40"/>
      <c r="L2" s="1"/>
      <c r="M2" s="1"/>
      <c r="N2" s="1"/>
      <c r="O2" s="1"/>
    </row>
    <row r="3" spans="1:17" s="22" customFormat="1" x14ac:dyDescent="0.25">
      <c r="A3" s="10" t="s">
        <v>36</v>
      </c>
      <c r="B3" s="2">
        <v>43235</v>
      </c>
      <c r="C3" s="3" t="s">
        <v>34</v>
      </c>
      <c r="D3" s="12">
        <v>100</v>
      </c>
      <c r="E3" s="13">
        <v>50.56</v>
      </c>
      <c r="F3" s="14">
        <v>10.5</v>
      </c>
      <c r="G3" s="14">
        <f>D3*E3*0.000325</f>
        <v>1.6432</v>
      </c>
      <c r="H3" s="38">
        <f>IF(C3="C",D3*E3+F3+G3,D3*E3-F3-G3)</f>
        <v>5068.1432000000004</v>
      </c>
      <c r="I3" s="32">
        <f>IF(A3&lt;&gt;"",D3,IF(C3="C",I2+D3,IF(C3="V",I2-D3,IF(C3="A",D3,""))))</f>
        <v>100</v>
      </c>
      <c r="J3" s="14">
        <f>IF(A3&lt;&gt;"",H3/D3,IF(C3="C",(I2*J2+H3)/(I2+D3),IF(C3="V",IF(I3&gt;0,J2,0),IF(C3="A",J2*(I2/I3),""))))</f>
        <v>50.681432000000001</v>
      </c>
      <c r="K3" s="41" t="str">
        <f>IF(C3="V",H3-#REF!*D3,"")</f>
        <v/>
      </c>
      <c r="N3" s="21"/>
      <c r="O3" s="20"/>
      <c r="P3" s="1"/>
      <c r="Q3" s="1"/>
    </row>
    <row r="4" spans="1:17" s="22" customFormat="1" x14ac:dyDescent="0.25">
      <c r="A4" s="3"/>
      <c r="B4" s="2">
        <v>43390</v>
      </c>
      <c r="C4" s="3" t="s">
        <v>34</v>
      </c>
      <c r="D4" s="12">
        <v>100</v>
      </c>
      <c r="E4" s="13">
        <v>68.72</v>
      </c>
      <c r="F4" s="14">
        <v>10.5</v>
      </c>
      <c r="G4" s="14">
        <f t="shared" ref="G4:G7" si="0">D4*E4*0.000325</f>
        <v>2.2334000000000001</v>
      </c>
      <c r="H4" s="38">
        <f t="shared" ref="H4:H7" si="1">IF(C4="C",D4*E4+F4+G4,D4*E4-F4-G4)</f>
        <v>6884.7334000000001</v>
      </c>
      <c r="I4" s="32">
        <f>IF(A4&lt;&gt;"",D4,IF(C4="C",I3+D4,IF(C4="V",I3-D4,IF(C4="A",D4,""))))</f>
        <v>200</v>
      </c>
      <c r="J4" s="14">
        <f>IF(A4&lt;&gt;"",H4/D4,IF(C4="C",(I3*J3+H4)/(I3+D4),IF(C4="V",IF(I4&gt;0,J3,0),IF(C4="A",J3*(I3/I4),""))))</f>
        <v>59.764382999999995</v>
      </c>
      <c r="K4" s="18" t="str">
        <f>IF(C4="V",H4-J3*D4,"")</f>
        <v/>
      </c>
      <c r="N4" s="21"/>
      <c r="O4" s="20"/>
      <c r="P4" s="1"/>
      <c r="Q4" s="1"/>
    </row>
    <row r="5" spans="1:17" s="22" customFormat="1" x14ac:dyDescent="0.25">
      <c r="A5" s="3"/>
      <c r="B5" s="2">
        <v>43508</v>
      </c>
      <c r="C5" s="3" t="s">
        <v>34</v>
      </c>
      <c r="D5" s="12">
        <v>100</v>
      </c>
      <c r="E5" s="13">
        <v>91.04</v>
      </c>
      <c r="F5" s="14">
        <v>10.5</v>
      </c>
      <c r="G5" s="14">
        <f t="shared" si="0"/>
        <v>2.9587999999999997</v>
      </c>
      <c r="H5" s="38">
        <f t="shared" si="1"/>
        <v>9117.4588000000003</v>
      </c>
      <c r="I5" s="32">
        <f>IF(A5&lt;&gt;"",D5,IF(C5="C",I4+D5,IF(C5="V",I4-D5,IF(C5="A",D5,""))))</f>
        <v>300</v>
      </c>
      <c r="J5" s="14">
        <f>IF(A5&lt;&gt;"",H5/D5,IF(C5="C",(I4*J4+H5)/(I4+D5),IF(C5="V",IF(I5&gt;0,J4,0),IF(C5="A",J4*(I4/I5),""))))</f>
        <v>70.23445133333334</v>
      </c>
      <c r="K5" s="18" t="str">
        <f>IF(C5="V",H5-J4*D5,"")</f>
        <v/>
      </c>
      <c r="N5" s="21"/>
      <c r="O5" s="20"/>
      <c r="P5" s="1"/>
      <c r="Q5" s="1"/>
    </row>
    <row r="6" spans="1:17" s="22" customFormat="1" x14ac:dyDescent="0.25">
      <c r="A6" s="3"/>
      <c r="B6" s="2">
        <v>43641</v>
      </c>
      <c r="C6" s="3" t="s">
        <v>35</v>
      </c>
      <c r="D6" s="12">
        <v>200</v>
      </c>
      <c r="E6" s="13">
        <v>101.13</v>
      </c>
      <c r="F6" s="14">
        <v>10.5</v>
      </c>
      <c r="G6" s="14">
        <f t="shared" si="0"/>
        <v>6.5734499999999993</v>
      </c>
      <c r="H6" s="38">
        <f t="shared" si="1"/>
        <v>20208.92655</v>
      </c>
      <c r="I6" s="32">
        <f>IF(A6&lt;&gt;"",D6,IF(C6="C",I5+D6,IF(C6="V",I5-D6,IF(C6="A",D6,""))))</f>
        <v>100</v>
      </c>
      <c r="J6" s="14">
        <f>IF(A6&lt;&gt;"",H6/D6,IF(C6="C",(I5*J5+H6)/(I5+D6),IF(C6="V",IF(I6&gt;0,J5,0),IF(C6="A",J5*(I5/I6),""))))</f>
        <v>70.23445133333334</v>
      </c>
      <c r="K6" s="18">
        <f>IF(C6="V",H6-J5*D6,"")</f>
        <v>6162.0362833333329</v>
      </c>
      <c r="N6" s="21"/>
      <c r="O6" s="20"/>
      <c r="P6" s="1"/>
      <c r="Q6" s="1"/>
    </row>
    <row r="7" spans="1:17" s="22" customFormat="1" x14ac:dyDescent="0.25">
      <c r="A7" s="23"/>
      <c r="B7" s="24">
        <v>43647</v>
      </c>
      <c r="C7" s="23" t="s">
        <v>35</v>
      </c>
      <c r="D7" s="33">
        <v>100</v>
      </c>
      <c r="E7" s="34">
        <v>99.44</v>
      </c>
      <c r="F7" s="35">
        <v>10.5</v>
      </c>
      <c r="G7" s="35">
        <f t="shared" si="0"/>
        <v>3.2317999999999998</v>
      </c>
      <c r="H7" s="34">
        <f t="shared" si="1"/>
        <v>9930.2682000000004</v>
      </c>
      <c r="I7" s="36">
        <f>IF(A7&lt;&gt;"",D7,IF(C7="C",I6+D7,IF(C7="V",I6-D7,IF(C7="A",D7,""))))</f>
        <v>0</v>
      </c>
      <c r="J7" s="35">
        <f>IF(A7&lt;&gt;"",H7/D7,IF(C7="C",(I6*J6+H7)/(I6+D7),IF(C7="V",IF(I7&gt;0,J6,0),IF(C7="A",J6*(I6/I7),""))))</f>
        <v>0</v>
      </c>
      <c r="K7" s="42">
        <f>IF(C7="V",H7-J6*D7,"")</f>
        <v>2906.8230666666668</v>
      </c>
      <c r="N7" s="21"/>
      <c r="O7" s="20"/>
      <c r="P7" s="1"/>
      <c r="Q7" s="1"/>
    </row>
    <row r="8" spans="1:17" s="22" customFormat="1" x14ac:dyDescent="0.25">
      <c r="A8" s="3"/>
      <c r="B8" s="2"/>
      <c r="C8" s="3"/>
      <c r="D8" s="12"/>
      <c r="E8" s="13"/>
      <c r="F8" s="37"/>
      <c r="G8" s="37"/>
      <c r="H8" s="13"/>
      <c r="I8" s="32"/>
      <c r="J8" s="14"/>
      <c r="K8" s="18"/>
      <c r="N8" s="21"/>
      <c r="O8" s="20"/>
      <c r="P8" s="1"/>
      <c r="Q8" s="1"/>
    </row>
    <row r="9" spans="1:17" s="22" customFormat="1" x14ac:dyDescent="0.25">
      <c r="A9" s="1"/>
      <c r="B9" s="2"/>
      <c r="C9" s="3"/>
      <c r="D9" s="12"/>
      <c r="E9" s="13"/>
      <c r="F9" s="37"/>
      <c r="G9" s="37"/>
      <c r="H9" s="13"/>
      <c r="I9" s="32"/>
      <c r="J9" s="14"/>
      <c r="K9" s="18"/>
      <c r="N9" s="21"/>
      <c r="O9" s="20"/>
      <c r="P9" s="1"/>
      <c r="Q9" s="1"/>
    </row>
    <row r="10" spans="1:17" s="22" customFormat="1" x14ac:dyDescent="0.25">
      <c r="A10" s="1"/>
      <c r="B10" s="2"/>
      <c r="C10" s="3"/>
      <c r="D10" s="12"/>
      <c r="E10" s="13"/>
      <c r="F10" s="14"/>
      <c r="G10" s="14"/>
      <c r="H10" s="13"/>
      <c r="I10" s="32"/>
      <c r="J10" s="14"/>
      <c r="K10" s="18"/>
      <c r="N10" s="21"/>
      <c r="O10" s="20"/>
      <c r="P10" s="1"/>
      <c r="Q10" s="1"/>
    </row>
  </sheetData>
  <pageMargins left="0.74791666666666667" right="0.74791666666666667" top="0.98402777777777783" bottom="0.98402777777777783" header="0.51180555555555562" footer="0.51180555555555562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4167D-3832-43CF-AECD-526677A3A57D}">
  <sheetPr codeName="Planilha1"/>
  <dimension ref="A1:O2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O15" sqref="O15"/>
    </sheetView>
  </sheetViews>
  <sheetFormatPr defaultRowHeight="15" x14ac:dyDescent="0.25"/>
  <cols>
    <col min="1" max="1" width="10.7109375" style="49" customWidth="1"/>
    <col min="2" max="3" width="13.140625" style="62" bestFit="1" customWidth="1"/>
    <col min="4" max="4" width="12" style="62" bestFit="1" customWidth="1"/>
    <col min="5" max="5" width="11.85546875" style="62" customWidth="1"/>
    <col min="6" max="6" width="11.140625" style="22" customWidth="1"/>
    <col min="7" max="7" width="13.85546875" style="3" customWidth="1"/>
    <col min="8" max="8" width="14.28515625" style="22" customWidth="1"/>
    <col min="9" max="9" width="13.85546875" style="61" customWidth="1"/>
    <col min="10" max="10" width="11.140625" style="61" customWidth="1"/>
    <col min="11" max="11" width="11.42578125" style="22" bestFit="1" customWidth="1"/>
    <col min="12" max="12" width="12" style="1" customWidth="1"/>
    <col min="13" max="13" width="10.42578125" style="60" bestFit="1" customWidth="1"/>
    <col min="14" max="14" width="12.85546875" style="59" customWidth="1"/>
    <col min="15" max="15" width="14.7109375" style="58" bestFit="1" customWidth="1"/>
    <col min="16" max="16384" width="9.140625" style="1"/>
  </cols>
  <sheetData>
    <row r="1" spans="1:15" x14ac:dyDescent="0.25">
      <c r="A1" s="88" t="s">
        <v>29</v>
      </c>
      <c r="B1" s="88" t="s">
        <v>75</v>
      </c>
      <c r="C1" s="88" t="s">
        <v>74</v>
      </c>
      <c r="D1" s="88" t="s">
        <v>73</v>
      </c>
      <c r="E1" s="88" t="s">
        <v>42</v>
      </c>
      <c r="F1" s="107" t="s">
        <v>72</v>
      </c>
      <c r="G1" s="108"/>
      <c r="H1" s="107" t="s">
        <v>71</v>
      </c>
      <c r="I1" s="108"/>
      <c r="J1" s="87" t="s">
        <v>70</v>
      </c>
      <c r="K1" s="86" t="s">
        <v>69</v>
      </c>
      <c r="L1" s="85" t="s">
        <v>68</v>
      </c>
      <c r="M1" s="85" t="s">
        <v>67</v>
      </c>
      <c r="N1" s="85" t="s">
        <v>67</v>
      </c>
      <c r="O1" s="84" t="s">
        <v>66</v>
      </c>
    </row>
    <row r="2" spans="1:15" x14ac:dyDescent="0.25">
      <c r="A2" s="65" t="s">
        <v>65</v>
      </c>
      <c r="B2" s="1">
        <v>50000</v>
      </c>
      <c r="C2" s="1">
        <v>50000</v>
      </c>
      <c r="D2" s="62">
        <v>0</v>
      </c>
      <c r="E2" s="62">
        <v>0</v>
      </c>
      <c r="F2" s="79"/>
      <c r="H2" s="79"/>
      <c r="J2" s="64">
        <v>76402</v>
      </c>
      <c r="K2" s="78"/>
      <c r="L2" s="77"/>
      <c r="O2" s="58">
        <f>C2-D2</f>
        <v>50000</v>
      </c>
    </row>
    <row r="3" spans="1:15" x14ac:dyDescent="0.25">
      <c r="A3" s="76" t="s">
        <v>64</v>
      </c>
      <c r="B3" s="83">
        <v>56200</v>
      </c>
      <c r="C3" s="74">
        <v>0</v>
      </c>
      <c r="D3" s="74">
        <v>0</v>
      </c>
      <c r="E3" s="74">
        <v>0</v>
      </c>
      <c r="F3" s="82">
        <f>(B3-C3+D3-B2+E2)/(B2-E2)</f>
        <v>0.124</v>
      </c>
      <c r="G3" s="73">
        <f>B3-C3+D3-B2+E2</f>
        <v>6200</v>
      </c>
      <c r="H3" s="82">
        <f>(B3-C3+D3-B2-E3)/(B2-E2)</f>
        <v>0.124</v>
      </c>
      <c r="I3" s="72">
        <f>B3-C3+D3-B2+E2-E3</f>
        <v>6200</v>
      </c>
      <c r="J3" s="71">
        <v>84913</v>
      </c>
      <c r="K3" s="81">
        <f t="shared" ref="K3:K14" si="0">J3/J2-1</f>
        <v>0.11139760739247673</v>
      </c>
      <c r="L3" s="80">
        <f t="shared" ref="L3:L14" si="1">F3-K3</f>
        <v>1.2602392607523272E-2</v>
      </c>
      <c r="M3" s="68">
        <f>F3</f>
        <v>0.124</v>
      </c>
      <c r="N3" s="67">
        <f>G3</f>
        <v>6200</v>
      </c>
      <c r="O3" s="66">
        <f t="shared" ref="O3:O14" si="2">O2+C3-D3</f>
        <v>50000</v>
      </c>
    </row>
    <row r="4" spans="1:15" x14ac:dyDescent="0.25">
      <c r="A4" s="65" t="s">
        <v>63</v>
      </c>
      <c r="B4" s="62">
        <v>58350</v>
      </c>
      <c r="C4" s="62">
        <v>0</v>
      </c>
      <c r="D4" s="62">
        <v>0</v>
      </c>
      <c r="E4" s="62">
        <v>455</v>
      </c>
      <c r="F4" s="112">
        <f>(B4-C4+D4-B3+E3)/(B3-E3)</f>
        <v>3.8256227758007119E-2</v>
      </c>
      <c r="G4" s="113">
        <f>B4-C4+D4-B3+E3</f>
        <v>2150</v>
      </c>
      <c r="H4" s="112">
        <f>(B4-C4+D4-B3-E4)/(B3-E3)</f>
        <v>3.016014234875445E-2</v>
      </c>
      <c r="I4" s="114">
        <f t="shared" ref="I4:I14" si="3">B4-C4+D4-B3+E3-E4</f>
        <v>1695</v>
      </c>
      <c r="J4" s="64">
        <v>85353</v>
      </c>
      <c r="K4" s="78">
        <f t="shared" si="0"/>
        <v>5.1817742866226979E-3</v>
      </c>
      <c r="L4" s="77">
        <f t="shared" si="1"/>
        <v>3.3074453471384421E-2</v>
      </c>
      <c r="M4" s="60">
        <f>((1+M3)*(1+F4))-1</f>
        <v>0.16700000000000026</v>
      </c>
      <c r="N4" s="59">
        <f>N3+G4</f>
        <v>8350</v>
      </c>
      <c r="O4" s="58">
        <f t="shared" si="2"/>
        <v>50000</v>
      </c>
    </row>
    <row r="5" spans="1:15" x14ac:dyDescent="0.25">
      <c r="A5" s="65" t="s">
        <v>62</v>
      </c>
      <c r="B5" s="62">
        <v>57990</v>
      </c>
      <c r="C5" s="62">
        <v>0</v>
      </c>
      <c r="D5" s="62">
        <v>0</v>
      </c>
      <c r="E5" s="62">
        <v>0</v>
      </c>
      <c r="F5" s="112">
        <f>(B5-C5+D5-B4+E4)/(B4-E4)</f>
        <v>1.640901632265308E-3</v>
      </c>
      <c r="G5" s="113">
        <f>B5-C5+D5-B4+E4</f>
        <v>95</v>
      </c>
      <c r="H5" s="112">
        <f>(B5-C5+D5-B4-E5)/(B4-E4)</f>
        <v>-6.2181535538474823E-3</v>
      </c>
      <c r="I5" s="114">
        <f t="shared" si="3"/>
        <v>95</v>
      </c>
      <c r="J5" s="64">
        <v>85365</v>
      </c>
      <c r="K5" s="78">
        <f t="shared" si="0"/>
        <v>1.4059259779974909E-4</v>
      </c>
      <c r="L5" s="77">
        <f t="shared" si="1"/>
        <v>1.5003090344655589E-3</v>
      </c>
      <c r="M5" s="60">
        <f t="shared" ref="M5:M13" si="4">((1+M4)*(1+F5))-1</f>
        <v>0.16891493220485398</v>
      </c>
      <c r="N5" s="59">
        <f t="shared" ref="N5:N13" si="5">N4+G5</f>
        <v>8445</v>
      </c>
      <c r="O5" s="58">
        <f t="shared" si="2"/>
        <v>50000</v>
      </c>
    </row>
    <row r="6" spans="1:15" x14ac:dyDescent="0.25">
      <c r="A6" s="65" t="s">
        <v>61</v>
      </c>
      <c r="B6" s="62">
        <v>62120</v>
      </c>
      <c r="C6" s="62">
        <v>3000</v>
      </c>
      <c r="D6" s="62">
        <v>0</v>
      </c>
      <c r="E6" s="62">
        <v>0</v>
      </c>
      <c r="F6" s="112">
        <f t="shared" ref="F6:F13" si="6">(B6-C6+D6-B5+E5)/(B5-E5)</f>
        <v>1.9486118296257977E-2</v>
      </c>
      <c r="G6" s="113">
        <f t="shared" ref="G6:G13" si="7">B6-C6+D6-B5+E5</f>
        <v>1130</v>
      </c>
      <c r="H6" s="112">
        <f t="shared" ref="H6:H14" si="8">(B6-C6+D6-B5-E6)/(B5-E5)</f>
        <v>1.9486118296257977E-2</v>
      </c>
      <c r="I6" s="114">
        <f t="shared" si="3"/>
        <v>1130</v>
      </c>
      <c r="J6" s="64">
        <v>86115</v>
      </c>
      <c r="K6" s="78">
        <f t="shared" si="0"/>
        <v>8.7858021437356992E-3</v>
      </c>
      <c r="L6" s="77">
        <f t="shared" si="1"/>
        <v>1.0700316152522277E-2</v>
      </c>
      <c r="M6" s="60">
        <f t="shared" si="4"/>
        <v>0.19169254685206027</v>
      </c>
      <c r="N6" s="59">
        <f t="shared" si="5"/>
        <v>9575</v>
      </c>
      <c r="O6" s="58">
        <f t="shared" si="2"/>
        <v>53000</v>
      </c>
    </row>
    <row r="7" spans="1:15" x14ac:dyDescent="0.25">
      <c r="A7" s="65" t="s">
        <v>60</v>
      </c>
      <c r="B7" s="62">
        <v>60845</v>
      </c>
      <c r="C7" s="62">
        <v>0</v>
      </c>
      <c r="D7" s="62">
        <v>0</v>
      </c>
      <c r="E7" s="62">
        <v>0</v>
      </c>
      <c r="F7" s="112">
        <f t="shared" si="6"/>
        <v>-2.0524790727623955E-2</v>
      </c>
      <c r="G7" s="113">
        <f t="shared" si="7"/>
        <v>-1275</v>
      </c>
      <c r="H7" s="112">
        <f t="shared" si="8"/>
        <v>-2.0524790727623955E-2</v>
      </c>
      <c r="I7" s="114">
        <f t="shared" si="3"/>
        <v>-1275</v>
      </c>
      <c r="J7" s="64">
        <v>76754</v>
      </c>
      <c r="K7" s="78">
        <f t="shared" si="0"/>
        <v>-0.10870347790744939</v>
      </c>
      <c r="L7" s="77">
        <f t="shared" si="1"/>
        <v>8.8178687179825438E-2</v>
      </c>
      <c r="M7" s="60">
        <f t="shared" si="4"/>
        <v>0.16723330671625258</v>
      </c>
      <c r="N7" s="59">
        <f t="shared" si="5"/>
        <v>8300</v>
      </c>
      <c r="O7" s="58">
        <f t="shared" si="2"/>
        <v>53000</v>
      </c>
    </row>
    <row r="8" spans="1:15" x14ac:dyDescent="0.25">
      <c r="A8" s="65" t="s">
        <v>59</v>
      </c>
      <c r="B8" s="62">
        <v>61228</v>
      </c>
      <c r="C8" s="62">
        <v>2500</v>
      </c>
      <c r="D8" s="62">
        <v>0</v>
      </c>
      <c r="E8" s="62">
        <v>0</v>
      </c>
      <c r="F8" s="112">
        <f t="shared" si="6"/>
        <v>-3.4793327307091788E-2</v>
      </c>
      <c r="G8" s="113">
        <f t="shared" si="7"/>
        <v>-2117</v>
      </c>
      <c r="H8" s="112">
        <f t="shared" si="8"/>
        <v>-3.4793327307091788E-2</v>
      </c>
      <c r="I8" s="114">
        <f t="shared" si="3"/>
        <v>-2117</v>
      </c>
      <c r="J8" s="64">
        <v>72763</v>
      </c>
      <c r="K8" s="78">
        <f t="shared" si="0"/>
        <v>-5.1997290043515609E-2</v>
      </c>
      <c r="L8" s="77">
        <f t="shared" si="1"/>
        <v>1.7203962736423821E-2</v>
      </c>
      <c r="M8" s="60">
        <f t="shared" si="4"/>
        <v>0.12662137623193481</v>
      </c>
      <c r="N8" s="59">
        <f t="shared" si="5"/>
        <v>6183</v>
      </c>
      <c r="O8" s="58">
        <f t="shared" si="2"/>
        <v>55500</v>
      </c>
    </row>
    <row r="9" spans="1:15" x14ac:dyDescent="0.25">
      <c r="A9" s="65" t="s">
        <v>58</v>
      </c>
      <c r="B9" s="62">
        <v>68200</v>
      </c>
      <c r="C9" s="1">
        <v>0</v>
      </c>
      <c r="D9" s="62">
        <v>0</v>
      </c>
      <c r="E9" s="62">
        <v>760</v>
      </c>
      <c r="F9" s="112">
        <f t="shared" si="6"/>
        <v>0.11386947148363494</v>
      </c>
      <c r="G9" s="113">
        <f t="shared" si="7"/>
        <v>6972</v>
      </c>
      <c r="H9" s="112">
        <f t="shared" si="8"/>
        <v>0.10145684980727772</v>
      </c>
      <c r="I9" s="114">
        <f t="shared" si="3"/>
        <v>6212</v>
      </c>
      <c r="J9" s="64">
        <v>79220</v>
      </c>
      <c r="K9" s="78">
        <f t="shared" si="0"/>
        <v>8.8740156398169345E-2</v>
      </c>
      <c r="L9" s="77">
        <f t="shared" si="1"/>
        <v>2.5129315085465592E-2</v>
      </c>
      <c r="M9" s="60">
        <f t="shared" si="4"/>
        <v>0.25490915690563076</v>
      </c>
      <c r="N9" s="59">
        <f t="shared" si="5"/>
        <v>13155</v>
      </c>
      <c r="O9" s="58">
        <f t="shared" si="2"/>
        <v>55500</v>
      </c>
    </row>
    <row r="10" spans="1:15" x14ac:dyDescent="0.25">
      <c r="A10" s="65" t="s">
        <v>57</v>
      </c>
      <c r="B10" s="1">
        <v>68710</v>
      </c>
      <c r="C10" s="1">
        <v>0</v>
      </c>
      <c r="D10" s="62">
        <v>0</v>
      </c>
      <c r="E10" s="62">
        <v>0</v>
      </c>
      <c r="F10" s="112">
        <f t="shared" si="6"/>
        <v>1.8831553973902727E-2</v>
      </c>
      <c r="G10" s="113">
        <f t="shared" si="7"/>
        <v>1270</v>
      </c>
      <c r="H10" s="112">
        <f t="shared" si="8"/>
        <v>7.5622775800711743E-3</v>
      </c>
      <c r="I10" s="114">
        <f t="shared" si="3"/>
        <v>1270</v>
      </c>
      <c r="J10" s="64">
        <v>76678</v>
      </c>
      <c r="K10" s="78">
        <f t="shared" si="0"/>
        <v>-3.2087856601868192E-2</v>
      </c>
      <c r="L10" s="77">
        <f t="shared" si="1"/>
        <v>5.0919410575770915E-2</v>
      </c>
      <c r="M10" s="60">
        <f t="shared" si="4"/>
        <v>0.27854104642624389</v>
      </c>
      <c r="N10" s="59">
        <f t="shared" si="5"/>
        <v>14425</v>
      </c>
      <c r="O10" s="58">
        <f t="shared" si="2"/>
        <v>55500</v>
      </c>
    </row>
    <row r="11" spans="1:15" x14ac:dyDescent="0.25">
      <c r="A11" s="65" t="s">
        <v>56</v>
      </c>
      <c r="B11" s="1">
        <v>70250</v>
      </c>
      <c r="C11" s="1">
        <v>0</v>
      </c>
      <c r="D11" s="62">
        <v>0</v>
      </c>
      <c r="E11" s="62">
        <v>0</v>
      </c>
      <c r="F11" s="112">
        <f t="shared" si="6"/>
        <v>2.241304031436472E-2</v>
      </c>
      <c r="G11" s="113">
        <f t="shared" si="7"/>
        <v>1540</v>
      </c>
      <c r="H11" s="112">
        <f t="shared" si="8"/>
        <v>2.241304031436472E-2</v>
      </c>
      <c r="I11" s="114">
        <f t="shared" si="3"/>
        <v>1540</v>
      </c>
      <c r="J11" s="64">
        <v>79342</v>
      </c>
      <c r="K11" s="78">
        <f t="shared" si="0"/>
        <v>3.4742690211012395E-2</v>
      </c>
      <c r="L11" s="77">
        <f t="shared" si="1"/>
        <v>-1.2329649896647674E-2</v>
      </c>
      <c r="M11" s="60">
        <f t="shared" si="4"/>
        <v>0.30719703844336532</v>
      </c>
      <c r="N11" s="59">
        <f t="shared" si="5"/>
        <v>15965</v>
      </c>
      <c r="O11" s="58">
        <f t="shared" si="2"/>
        <v>55500</v>
      </c>
    </row>
    <row r="12" spans="1:15" x14ac:dyDescent="0.25">
      <c r="A12" s="65" t="s">
        <v>55</v>
      </c>
      <c r="B12" s="1">
        <v>82600</v>
      </c>
      <c r="C12" s="1">
        <v>3000</v>
      </c>
      <c r="D12" s="62">
        <v>0</v>
      </c>
      <c r="E12" s="62">
        <v>0</v>
      </c>
      <c r="F12" s="112">
        <f t="shared" si="6"/>
        <v>0.13309608540925266</v>
      </c>
      <c r="G12" s="113">
        <f t="shared" si="7"/>
        <v>9350</v>
      </c>
      <c r="H12" s="112">
        <f t="shared" si="8"/>
        <v>0.13309608540925266</v>
      </c>
      <c r="I12" s="114">
        <f t="shared" si="3"/>
        <v>9350</v>
      </c>
      <c r="J12" s="64">
        <v>87423.55</v>
      </c>
      <c r="K12" s="78">
        <f t="shared" si="0"/>
        <v>0.10185715005923734</v>
      </c>
      <c r="L12" s="77">
        <f t="shared" si="1"/>
        <v>3.1238935350015318E-2</v>
      </c>
      <c r="M12" s="60">
        <f t="shared" si="4"/>
        <v>0.48117984711874562</v>
      </c>
      <c r="N12" s="59">
        <f t="shared" si="5"/>
        <v>25315</v>
      </c>
      <c r="O12" s="58">
        <f t="shared" si="2"/>
        <v>58500</v>
      </c>
    </row>
    <row r="13" spans="1:15" x14ac:dyDescent="0.25">
      <c r="A13" s="65" t="s">
        <v>54</v>
      </c>
      <c r="B13" s="1">
        <v>86900</v>
      </c>
      <c r="C13" s="1">
        <v>0</v>
      </c>
      <c r="D13" s="62">
        <v>0</v>
      </c>
      <c r="E13" s="62">
        <v>0</v>
      </c>
      <c r="F13" s="112">
        <f t="shared" si="6"/>
        <v>5.2058111380145281E-2</v>
      </c>
      <c r="G13" s="113">
        <f t="shared" si="7"/>
        <v>4300</v>
      </c>
      <c r="H13" s="112">
        <f t="shared" si="8"/>
        <v>5.2058111380145281E-2</v>
      </c>
      <c r="I13" s="114">
        <f t="shared" si="3"/>
        <v>4300</v>
      </c>
      <c r="J13" s="64">
        <v>89504</v>
      </c>
      <c r="K13" s="78">
        <f t="shared" si="0"/>
        <v>2.3797363525045467E-2</v>
      </c>
      <c r="L13" s="77">
        <f t="shared" si="1"/>
        <v>2.8260747855099813E-2</v>
      </c>
      <c r="M13" s="60">
        <f t="shared" si="4"/>
        <v>0.55828727257407973</v>
      </c>
      <c r="N13" s="59">
        <f t="shared" si="5"/>
        <v>29615</v>
      </c>
      <c r="O13" s="58">
        <f t="shared" si="2"/>
        <v>58500</v>
      </c>
    </row>
    <row r="14" spans="1:15" x14ac:dyDescent="0.25">
      <c r="A14" s="65" t="s">
        <v>53</v>
      </c>
      <c r="B14" s="1">
        <v>86000</v>
      </c>
      <c r="C14" s="1">
        <v>0</v>
      </c>
      <c r="D14" s="62">
        <v>1500</v>
      </c>
      <c r="E14" s="62">
        <v>0</v>
      </c>
      <c r="F14" s="112">
        <f t="shared" ref="F14" si="9">(B14-C14+D14-B13+E13)/(B13-E13)</f>
        <v>6.9044879171461446E-3</v>
      </c>
      <c r="G14" s="113">
        <f t="shared" ref="G14" si="10">B14-C14+D14-B13+E13</f>
        <v>600</v>
      </c>
      <c r="H14" s="112">
        <f t="shared" si="8"/>
        <v>6.9044879171461446E-3</v>
      </c>
      <c r="I14" s="115">
        <f t="shared" si="3"/>
        <v>600</v>
      </c>
      <c r="J14" s="64">
        <v>87887</v>
      </c>
      <c r="K14" s="78">
        <f t="shared" si="0"/>
        <v>-1.8066231676796551E-2</v>
      </c>
      <c r="L14" s="77">
        <f t="shared" si="1"/>
        <v>2.4970719593942696E-2</v>
      </c>
      <c r="M14" s="60">
        <f>((1+M13)*(1+F14))-1</f>
        <v>0.56904644821900985</v>
      </c>
      <c r="N14" s="59">
        <f>N13+G14</f>
        <v>30215</v>
      </c>
      <c r="O14" s="58">
        <f t="shared" si="2"/>
        <v>57000</v>
      </c>
    </row>
    <row r="15" spans="1:15" x14ac:dyDescent="0.25">
      <c r="A15" s="76" t="s">
        <v>52</v>
      </c>
      <c r="B15" s="75"/>
      <c r="C15" s="74"/>
      <c r="D15" s="74"/>
      <c r="E15" s="74"/>
      <c r="F15" s="70"/>
      <c r="G15" s="73"/>
      <c r="H15" s="70"/>
      <c r="I15" s="72"/>
      <c r="J15" s="71"/>
      <c r="K15" s="70"/>
      <c r="L15" s="69"/>
      <c r="M15" s="68"/>
      <c r="N15" s="67"/>
      <c r="O15" s="66"/>
    </row>
    <row r="16" spans="1:15" x14ac:dyDescent="0.25">
      <c r="A16" s="65"/>
      <c r="B16" s="1"/>
      <c r="J16" s="64"/>
      <c r="L16" s="63"/>
    </row>
    <row r="17" spans="1:12" x14ac:dyDescent="0.25">
      <c r="A17" s="65"/>
      <c r="B17" s="1"/>
      <c r="J17" s="64"/>
      <c r="L17" s="63"/>
    </row>
    <row r="18" spans="1:12" x14ac:dyDescent="0.25">
      <c r="A18" s="65"/>
      <c r="B18" s="1"/>
      <c r="J18" s="64"/>
      <c r="L18" s="63"/>
    </row>
    <row r="19" spans="1:12" x14ac:dyDescent="0.25">
      <c r="A19" s="65"/>
      <c r="B19" s="1"/>
      <c r="J19" s="64"/>
      <c r="L19" s="63"/>
    </row>
    <row r="20" spans="1:12" x14ac:dyDescent="0.25">
      <c r="A20" s="65"/>
      <c r="B20" s="1"/>
      <c r="J20" s="64"/>
      <c r="L20" s="63"/>
    </row>
    <row r="21" spans="1:12" x14ac:dyDescent="0.25">
      <c r="A21" s="65"/>
      <c r="B21" s="1"/>
      <c r="J21" s="64"/>
      <c r="L21" s="63"/>
    </row>
    <row r="22" spans="1:12" x14ac:dyDescent="0.25">
      <c r="A22" s="65"/>
      <c r="B22" s="1"/>
      <c r="J22" s="64"/>
      <c r="L22" s="63"/>
    </row>
    <row r="23" spans="1:12" x14ac:dyDescent="0.25">
      <c r="A23" s="65"/>
      <c r="B23" s="1"/>
      <c r="J23" s="64"/>
      <c r="L23" s="63"/>
    </row>
    <row r="24" spans="1:12" x14ac:dyDescent="0.25">
      <c r="A24" s="65"/>
      <c r="B24" s="1"/>
      <c r="C24" s="1"/>
      <c r="J24" s="64"/>
      <c r="L24" s="63"/>
    </row>
  </sheetData>
  <mergeCells count="2">
    <mergeCell ref="F1:G1"/>
    <mergeCell ref="H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8401A-52C4-4FB9-95BD-92580911A1DF}">
  <sheetPr codeName="Planilha2"/>
  <dimension ref="A1:D18"/>
  <sheetViews>
    <sheetView workbookViewId="0">
      <selection activeCell="D2" sqref="D2"/>
    </sheetView>
  </sheetViews>
  <sheetFormatPr defaultRowHeight="15" x14ac:dyDescent="0.25"/>
  <cols>
    <col min="1" max="1" width="18.7109375" style="89" bestFit="1" customWidth="1"/>
    <col min="2" max="4" width="15.140625" style="89" customWidth="1"/>
    <col min="5" max="16384" width="9.140625" style="89"/>
  </cols>
  <sheetData>
    <row r="1" spans="1:4" x14ac:dyDescent="0.25">
      <c r="A1" s="103" t="s">
        <v>89</v>
      </c>
      <c r="B1" s="105">
        <v>50000</v>
      </c>
    </row>
    <row r="2" spans="1:4" x14ac:dyDescent="0.25">
      <c r="A2" s="103" t="s">
        <v>88</v>
      </c>
      <c r="B2" s="104">
        <v>0.01</v>
      </c>
    </row>
    <row r="3" spans="1:4" x14ac:dyDescent="0.25">
      <c r="A3" s="103" t="s">
        <v>88</v>
      </c>
      <c r="B3" s="102">
        <f>B1*B2</f>
        <v>500</v>
      </c>
    </row>
    <row r="6" spans="1:4" x14ac:dyDescent="0.25">
      <c r="A6" s="101" t="s">
        <v>87</v>
      </c>
      <c r="B6" s="100" t="s">
        <v>90</v>
      </c>
      <c r="C6" s="100" t="s">
        <v>86</v>
      </c>
      <c r="D6" s="100" t="s">
        <v>85</v>
      </c>
    </row>
    <row r="7" spans="1:4" x14ac:dyDescent="0.25">
      <c r="A7" s="91" t="s">
        <v>84</v>
      </c>
      <c r="B7" s="99">
        <v>28.7</v>
      </c>
      <c r="C7" s="99">
        <v>5.57</v>
      </c>
      <c r="D7" s="99">
        <v>17.510000000000002</v>
      </c>
    </row>
    <row r="8" spans="1:4" x14ac:dyDescent="0.25">
      <c r="A8" s="94" t="s">
        <v>83</v>
      </c>
      <c r="B8" s="98">
        <v>24.48</v>
      </c>
      <c r="C8" s="98">
        <v>4.97</v>
      </c>
      <c r="D8" s="98">
        <v>15.49</v>
      </c>
    </row>
    <row r="9" spans="1:4" x14ac:dyDescent="0.25">
      <c r="A9" s="94" t="s">
        <v>82</v>
      </c>
      <c r="B9" s="97">
        <f>ABS(B8/B7-1)</f>
        <v>0.14703832752613233</v>
      </c>
      <c r="C9" s="97">
        <f>ABS(C8/C7-1)</f>
        <v>0.10771992818671461</v>
      </c>
      <c r="D9" s="97">
        <f>ABS(D8/D7-1)</f>
        <v>0.11536264991433476</v>
      </c>
    </row>
    <row r="10" spans="1:4" x14ac:dyDescent="0.25">
      <c r="A10" s="94" t="s">
        <v>81</v>
      </c>
      <c r="B10" s="96">
        <f>$B$3/B9</f>
        <v>3400.4739336492908</v>
      </c>
      <c r="C10" s="96">
        <f>$B$3/C9</f>
        <v>4641.6666666666642</v>
      </c>
      <c r="D10" s="96">
        <f>$B$3/D9</f>
        <v>4334.1584158415808</v>
      </c>
    </row>
    <row r="11" spans="1:4" x14ac:dyDescent="0.25">
      <c r="A11" s="93" t="s">
        <v>80</v>
      </c>
      <c r="B11" s="95">
        <f>B10/B7</f>
        <v>118.48341232227494</v>
      </c>
      <c r="C11" s="95">
        <f>C10/C7</f>
        <v>833.3333333333328</v>
      </c>
      <c r="D11" s="95">
        <f>D10/D7</f>
        <v>247.52475247524731</v>
      </c>
    </row>
    <row r="12" spans="1:4" x14ac:dyDescent="0.25">
      <c r="A12" s="91" t="s">
        <v>79</v>
      </c>
      <c r="B12" s="106">
        <v>100</v>
      </c>
      <c r="C12" s="106">
        <v>800</v>
      </c>
      <c r="D12" s="106">
        <v>200</v>
      </c>
    </row>
    <row r="13" spans="1:4" x14ac:dyDescent="0.25">
      <c r="A13" s="94" t="s">
        <v>78</v>
      </c>
      <c r="B13" s="98">
        <v>24.48</v>
      </c>
      <c r="C13" s="98">
        <v>5.35</v>
      </c>
      <c r="D13" s="98">
        <v>15.75</v>
      </c>
    </row>
    <row r="14" spans="1:4" x14ac:dyDescent="0.25">
      <c r="A14" s="93" t="s">
        <v>77</v>
      </c>
      <c r="B14" s="92">
        <f>MAX((B7-B13),0)*B12/$B$1</f>
        <v>8.4399999999999979E-3</v>
      </c>
      <c r="C14" s="92">
        <f>MAX((C7-C13),0)*C12/$B$1</f>
        <v>3.5200000000000101E-3</v>
      </c>
      <c r="D14" s="92">
        <f>MAX((D7-D13),0)*D12/$B$1</f>
        <v>7.0400000000000072E-3</v>
      </c>
    </row>
    <row r="17" spans="2:2" x14ac:dyDescent="0.25">
      <c r="B17" s="91" t="s">
        <v>76</v>
      </c>
    </row>
    <row r="18" spans="2:2" x14ac:dyDescent="0.25">
      <c r="B18" s="90">
        <f>SUM(B14:Z14)</f>
        <v>1.9000000000000017E-2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2903E-D8AB-4E6E-97F8-8F63116DB5E3}">
  <sheetPr codeName="Planilha3"/>
  <dimension ref="A1:AA279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16" sqref="A16"/>
    </sheetView>
  </sheetViews>
  <sheetFormatPr defaultRowHeight="15" x14ac:dyDescent="0.25"/>
  <cols>
    <col min="1" max="1" width="9.28515625" style="48" customWidth="1"/>
    <col min="2" max="2" width="12.5703125" style="50" customWidth="1"/>
    <col min="3" max="3" width="13.28515625" style="1" customWidth="1"/>
    <col min="4" max="5" width="14.140625" style="1" customWidth="1"/>
    <col min="6" max="6" width="9.7109375" style="3" customWidth="1"/>
    <col min="7" max="7" width="12.28515625" style="1" customWidth="1"/>
    <col min="8" max="8" width="9.85546875" style="1" customWidth="1"/>
    <col min="9" max="9" width="13.5703125" style="1" customWidth="1"/>
    <col min="10" max="10" width="12.140625" style="1" customWidth="1"/>
    <col min="11" max="11" width="11.42578125" style="1" customWidth="1"/>
    <col min="12" max="12" width="9.140625" style="43"/>
    <col min="28" max="16384" width="9.140625" style="1"/>
  </cols>
  <sheetData>
    <row r="1" spans="1:27" x14ac:dyDescent="0.25">
      <c r="A1" s="109" t="s">
        <v>48</v>
      </c>
      <c r="B1" s="110" t="s">
        <v>49</v>
      </c>
      <c r="C1" s="111"/>
      <c r="D1" s="111"/>
      <c r="E1" s="111"/>
      <c r="F1" s="111"/>
      <c r="G1" s="111"/>
      <c r="H1" s="111"/>
      <c r="I1" s="111"/>
      <c r="J1" s="111"/>
      <c r="K1" s="111"/>
      <c r="L1" s="47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x14ac:dyDescent="0.25">
      <c r="A2" s="109"/>
      <c r="B2" s="44" t="s">
        <v>38</v>
      </c>
      <c r="C2" s="45" t="s">
        <v>40</v>
      </c>
      <c r="D2" s="45" t="s">
        <v>41</v>
      </c>
      <c r="E2" s="45" t="s">
        <v>47</v>
      </c>
      <c r="F2" s="45" t="s">
        <v>46</v>
      </c>
      <c r="G2" s="45" t="s">
        <v>42</v>
      </c>
      <c r="H2" s="45" t="s">
        <v>39</v>
      </c>
      <c r="I2" s="45" t="s">
        <v>43</v>
      </c>
      <c r="J2" s="46" t="s">
        <v>44</v>
      </c>
      <c r="K2" s="45" t="s">
        <v>45</v>
      </c>
      <c r="L2" s="47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x14ac:dyDescent="0.25">
      <c r="A3" s="51">
        <v>43435</v>
      </c>
      <c r="B3" s="25">
        <v>0</v>
      </c>
      <c r="C3" s="25">
        <v>-150</v>
      </c>
      <c r="D3" s="25">
        <v>0</v>
      </c>
      <c r="E3" s="25">
        <v>0</v>
      </c>
      <c r="F3" s="57" t="s">
        <v>51</v>
      </c>
      <c r="G3" s="25">
        <v>0</v>
      </c>
      <c r="H3" s="25">
        <v>0</v>
      </c>
      <c r="I3" s="25">
        <v>0</v>
      </c>
      <c r="J3" s="25">
        <v>0</v>
      </c>
      <c r="K3" s="52"/>
      <c r="L3" s="4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x14ac:dyDescent="0.25">
      <c r="A4" s="53">
        <v>43466</v>
      </c>
      <c r="B4" s="54">
        <v>-510</v>
      </c>
      <c r="C4" s="54">
        <f t="shared" ref="C4:C9" si="0">IF(B4&lt;=0,C3+B4,IF(E4&gt;=20000,MIN(C3+B4,0),C3))</f>
        <v>-660</v>
      </c>
      <c r="D4" s="54">
        <f t="shared" ref="D4:D15" si="1">IF(C4=0,IF(C3&lt;0,B4+C3,B4),0)</f>
        <v>0</v>
      </c>
      <c r="E4" s="54">
        <v>3600</v>
      </c>
      <c r="F4" s="3" t="str">
        <f t="shared" ref="F4:F10" si="2">IF(AND(D4&gt;0,E4&gt;=20000),"S","N")</f>
        <v>N</v>
      </c>
      <c r="G4" s="54">
        <f>IF(F4="S",D4*0.15,0)</f>
        <v>0</v>
      </c>
      <c r="H4" s="54">
        <v>0.25</v>
      </c>
      <c r="I4" s="54">
        <f>IF((G4-H4)&lt;0,(G4-H4),0)</f>
        <v>-0.25</v>
      </c>
      <c r="J4" s="54">
        <f t="shared" ref="J4:J15" si="3">IF(G4-H4&gt;ABS(I3),G4-H4+I3,0)</f>
        <v>0</v>
      </c>
      <c r="K4" s="55"/>
      <c r="L4" s="47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x14ac:dyDescent="0.25">
      <c r="A5" s="48">
        <v>43497</v>
      </c>
      <c r="B5" s="1">
        <v>1250</v>
      </c>
      <c r="C5" s="1">
        <f t="shared" si="0"/>
        <v>0</v>
      </c>
      <c r="D5" s="56">
        <f t="shared" si="1"/>
        <v>590</v>
      </c>
      <c r="E5" s="1">
        <v>22000</v>
      </c>
      <c r="F5" s="3" t="str">
        <f t="shared" si="2"/>
        <v>S</v>
      </c>
      <c r="G5" s="1">
        <f>IF(F5="S",D5*0.15,0)</f>
        <v>88.5</v>
      </c>
      <c r="H5" s="1">
        <v>1.1000000000000001</v>
      </c>
      <c r="I5" s="1">
        <f t="shared" ref="I5:I15" si="4">IF(I4+(G5-H5)&lt;0,I4+(G5-H5),0)</f>
        <v>0</v>
      </c>
      <c r="J5" s="1">
        <f t="shared" si="3"/>
        <v>87.15</v>
      </c>
      <c r="K5" s="49">
        <v>43552</v>
      </c>
      <c r="L5" s="47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x14ac:dyDescent="0.25">
      <c r="A6" s="48">
        <v>43525</v>
      </c>
      <c r="B6" s="1">
        <v>420</v>
      </c>
      <c r="C6" s="1">
        <f t="shared" si="0"/>
        <v>0</v>
      </c>
      <c r="D6" s="56">
        <f t="shared" si="1"/>
        <v>420</v>
      </c>
      <c r="E6" s="1">
        <v>15700</v>
      </c>
      <c r="F6" s="3" t="str">
        <f t="shared" si="2"/>
        <v>N</v>
      </c>
      <c r="G6" s="1">
        <f t="shared" ref="G6:G15" si="5">IF(F6="S",D6*0.15,0)</f>
        <v>0</v>
      </c>
      <c r="H6" s="1">
        <v>0.3</v>
      </c>
      <c r="I6" s="1">
        <f t="shared" si="4"/>
        <v>-0.3</v>
      </c>
      <c r="J6" s="1">
        <f t="shared" si="3"/>
        <v>0</v>
      </c>
      <c r="K6" s="49"/>
      <c r="L6" s="4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x14ac:dyDescent="0.25">
      <c r="A7" s="48">
        <v>43556</v>
      </c>
      <c r="B7" s="1">
        <v>150</v>
      </c>
      <c r="C7" s="1">
        <f t="shared" si="0"/>
        <v>0</v>
      </c>
      <c r="D7" s="56">
        <f t="shared" si="1"/>
        <v>150</v>
      </c>
      <c r="E7" s="1">
        <v>5500</v>
      </c>
      <c r="F7" s="3" t="str">
        <f t="shared" si="2"/>
        <v>N</v>
      </c>
      <c r="G7" s="1">
        <f t="shared" si="5"/>
        <v>0</v>
      </c>
      <c r="H7" s="1">
        <v>0.12</v>
      </c>
      <c r="I7" s="1">
        <f t="shared" si="4"/>
        <v>-0.42</v>
      </c>
      <c r="J7" s="1">
        <f t="shared" si="3"/>
        <v>0</v>
      </c>
      <c r="K7" s="49"/>
      <c r="L7" s="47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x14ac:dyDescent="0.25">
      <c r="A8" s="48">
        <v>43586</v>
      </c>
      <c r="B8" s="1">
        <v>-230</v>
      </c>
      <c r="C8" s="1">
        <f t="shared" si="0"/>
        <v>-230</v>
      </c>
      <c r="D8" s="56">
        <f t="shared" si="1"/>
        <v>0</v>
      </c>
      <c r="E8" s="1">
        <v>12500</v>
      </c>
      <c r="F8" s="3" t="str">
        <f t="shared" si="2"/>
        <v>N</v>
      </c>
      <c r="G8" s="1">
        <f t="shared" si="5"/>
        <v>0</v>
      </c>
      <c r="H8" s="1">
        <v>0.15</v>
      </c>
      <c r="I8" s="1">
        <f t="shared" si="4"/>
        <v>-0.56999999999999995</v>
      </c>
      <c r="J8" s="1">
        <f t="shared" si="3"/>
        <v>0</v>
      </c>
      <c r="K8" s="49"/>
      <c r="L8" s="4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x14ac:dyDescent="0.25">
      <c r="A9" s="48">
        <v>43617</v>
      </c>
      <c r="B9" s="1">
        <v>-440</v>
      </c>
      <c r="C9" s="1">
        <f t="shared" si="0"/>
        <v>-670</v>
      </c>
      <c r="D9" s="56">
        <f t="shared" si="1"/>
        <v>0</v>
      </c>
      <c r="E9" s="1">
        <v>23100</v>
      </c>
      <c r="F9" s="3" t="str">
        <f t="shared" si="2"/>
        <v>N</v>
      </c>
      <c r="G9" s="1">
        <f t="shared" si="5"/>
        <v>0</v>
      </c>
      <c r="H9" s="1">
        <v>0.31</v>
      </c>
      <c r="I9" s="1">
        <f t="shared" si="4"/>
        <v>-0.87999999999999989</v>
      </c>
      <c r="J9" s="1">
        <f t="shared" si="3"/>
        <v>0</v>
      </c>
      <c r="K9" s="49"/>
      <c r="L9" s="4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x14ac:dyDescent="0.25">
      <c r="A10" s="48">
        <v>43647</v>
      </c>
      <c r="B10" s="1">
        <v>750</v>
      </c>
      <c r="C10" s="1">
        <f>IF(B10&lt;=0,C9+B10,IF(E10&gt;=20000,MIN(C9+B10,0),C9))</f>
        <v>-670</v>
      </c>
      <c r="D10" s="56">
        <f t="shared" ref="D10:D14" si="6">IF(C10=0,IF(C9&lt;0,B10+C9,B10),0)</f>
        <v>0</v>
      </c>
      <c r="E10" s="1">
        <v>18000</v>
      </c>
      <c r="F10" s="3" t="str">
        <f t="shared" si="2"/>
        <v>N</v>
      </c>
      <c r="G10" s="1">
        <f t="shared" si="5"/>
        <v>0</v>
      </c>
      <c r="H10" s="1">
        <v>0.36</v>
      </c>
      <c r="I10" s="1">
        <f t="shared" si="4"/>
        <v>-1.2399999999999998</v>
      </c>
      <c r="J10" s="1">
        <f t="shared" si="3"/>
        <v>0</v>
      </c>
      <c r="K10" s="49"/>
      <c r="L10" s="4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x14ac:dyDescent="0.25">
      <c r="A11" s="48">
        <v>43678</v>
      </c>
      <c r="B11" s="1">
        <v>612</v>
      </c>
      <c r="C11" s="1">
        <f t="shared" ref="C11:C15" si="7">IF(B11&lt;=0,C10+B11,IF(E11&gt;=20000,MIN(C10+B11,0),C10))</f>
        <v>-58</v>
      </c>
      <c r="D11" s="56">
        <f t="shared" si="6"/>
        <v>0</v>
      </c>
      <c r="E11" s="1">
        <v>24000</v>
      </c>
      <c r="F11" s="3" t="str">
        <f>IF(AND(D11&gt;0,E11&gt;=20000),"S","N")</f>
        <v>N</v>
      </c>
      <c r="G11" s="1">
        <f t="shared" si="5"/>
        <v>0</v>
      </c>
      <c r="H11" s="1">
        <v>0.45</v>
      </c>
      <c r="I11" s="1">
        <f t="shared" si="4"/>
        <v>-1.6899999999999997</v>
      </c>
      <c r="J11" s="1">
        <f t="shared" si="3"/>
        <v>0</v>
      </c>
      <c r="K11" s="49"/>
      <c r="L11" s="4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x14ac:dyDescent="0.25">
      <c r="A12" s="48">
        <v>43709</v>
      </c>
      <c r="B12" s="1">
        <v>2500</v>
      </c>
      <c r="C12" s="1">
        <f t="shared" si="7"/>
        <v>0</v>
      </c>
      <c r="D12" s="56">
        <f t="shared" si="6"/>
        <v>2442</v>
      </c>
      <c r="E12" s="1">
        <v>29800</v>
      </c>
      <c r="F12" s="3" t="str">
        <f t="shared" ref="F12:F15" si="8">IF(AND(D12&gt;0,E12&gt;=20000),"S","N")</f>
        <v>S</v>
      </c>
      <c r="G12" s="1">
        <f t="shared" si="5"/>
        <v>366.3</v>
      </c>
      <c r="H12" s="1">
        <v>2.5</v>
      </c>
      <c r="I12" s="1">
        <f t="shared" si="4"/>
        <v>0</v>
      </c>
      <c r="J12" s="1">
        <f t="shared" si="3"/>
        <v>362.11</v>
      </c>
      <c r="K12" s="49">
        <v>43789</v>
      </c>
      <c r="L12" s="4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x14ac:dyDescent="0.25">
      <c r="A13" s="48">
        <v>43739</v>
      </c>
      <c r="B13" s="1">
        <v>50</v>
      </c>
      <c r="C13" s="1">
        <f t="shared" si="7"/>
        <v>0</v>
      </c>
      <c r="D13" s="56">
        <f t="shared" si="6"/>
        <v>50</v>
      </c>
      <c r="E13" s="1">
        <v>21200</v>
      </c>
      <c r="F13" s="3" t="str">
        <f t="shared" si="8"/>
        <v>S</v>
      </c>
      <c r="G13" s="1">
        <f t="shared" si="5"/>
        <v>7.5</v>
      </c>
      <c r="H13" s="1">
        <v>0.05</v>
      </c>
      <c r="I13" s="1">
        <f t="shared" si="4"/>
        <v>0</v>
      </c>
      <c r="J13" s="1">
        <f t="shared" si="3"/>
        <v>7.45</v>
      </c>
      <c r="K13" s="49" t="s">
        <v>50</v>
      </c>
      <c r="L13" s="4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x14ac:dyDescent="0.25">
      <c r="A14" s="48">
        <v>43770</v>
      </c>
      <c r="B14" s="1">
        <v>779</v>
      </c>
      <c r="C14" s="1">
        <f t="shared" si="7"/>
        <v>0</v>
      </c>
      <c r="D14" s="56">
        <f t="shared" si="6"/>
        <v>779</v>
      </c>
      <c r="E14" s="56">
        <v>23000</v>
      </c>
      <c r="F14" s="3" t="str">
        <f t="shared" si="8"/>
        <v>S</v>
      </c>
      <c r="G14" s="1">
        <f t="shared" si="5"/>
        <v>116.85</v>
      </c>
      <c r="H14" s="1">
        <v>0.85</v>
      </c>
      <c r="I14" s="1">
        <f t="shared" si="4"/>
        <v>0</v>
      </c>
      <c r="J14" s="1">
        <f t="shared" si="3"/>
        <v>116</v>
      </c>
      <c r="K14" s="49">
        <v>43845</v>
      </c>
      <c r="L14" s="47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x14ac:dyDescent="0.25">
      <c r="A15" s="51">
        <v>43800</v>
      </c>
      <c r="B15" s="25">
        <v>-455</v>
      </c>
      <c r="C15" s="25">
        <f t="shared" si="7"/>
        <v>-455</v>
      </c>
      <c r="D15" s="25">
        <f t="shared" si="1"/>
        <v>0</v>
      </c>
      <c r="E15" s="25">
        <v>32000</v>
      </c>
      <c r="F15" s="23" t="str">
        <f t="shared" si="8"/>
        <v>N</v>
      </c>
      <c r="G15" s="25">
        <f t="shared" si="5"/>
        <v>0</v>
      </c>
      <c r="H15" s="25">
        <v>3.27</v>
      </c>
      <c r="I15" s="25">
        <f t="shared" si="4"/>
        <v>-3.27</v>
      </c>
      <c r="J15" s="25">
        <f t="shared" si="3"/>
        <v>0</v>
      </c>
      <c r="K15" s="52"/>
      <c r="L15" s="47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x14ac:dyDescent="0.25">
      <c r="K16" s="49"/>
      <c r="L16" s="47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1:27" x14ac:dyDescent="0.25">
      <c r="K17" s="49"/>
      <c r="L17" s="47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1:27" x14ac:dyDescent="0.25">
      <c r="K18" s="49"/>
      <c r="L18" s="47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1:27" x14ac:dyDescent="0.25">
      <c r="K19" s="49"/>
      <c r="L19" s="47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1:27" x14ac:dyDescent="0.25">
      <c r="K20" s="49"/>
      <c r="L20" s="47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1:27" x14ac:dyDescent="0.25">
      <c r="K21" s="49"/>
      <c r="L21" s="47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1:27" x14ac:dyDescent="0.25">
      <c r="K22" s="49"/>
      <c r="L22" s="47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1:27" x14ac:dyDescent="0.25">
      <c r="K23" s="49"/>
      <c r="L23" s="47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1:27" x14ac:dyDescent="0.25">
      <c r="K24" s="49"/>
      <c r="L24" s="47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1:27" x14ac:dyDescent="0.25">
      <c r="K25" s="49"/>
      <c r="L25" s="47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1:27" x14ac:dyDescent="0.25">
      <c r="K26" s="49"/>
      <c r="L26" s="47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1:27" x14ac:dyDescent="0.25">
      <c r="K27" s="49"/>
      <c r="L27" s="47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1:27" x14ac:dyDescent="0.25">
      <c r="K28" s="49"/>
      <c r="L28" s="47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1:27" x14ac:dyDescent="0.25">
      <c r="K29" s="49"/>
      <c r="L29" s="47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1:27" x14ac:dyDescent="0.25">
      <c r="K30" s="49"/>
      <c r="L30" s="47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1:27" x14ac:dyDescent="0.25">
      <c r="K31" s="49"/>
      <c r="L31" s="47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1:27" x14ac:dyDescent="0.25">
      <c r="K32" s="49"/>
      <c r="L32" s="47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1:27" x14ac:dyDescent="0.25">
      <c r="K33" s="49"/>
      <c r="L33" s="47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1:27" x14ac:dyDescent="0.25">
      <c r="K34" s="49"/>
      <c r="L34" s="47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1:27" x14ac:dyDescent="0.25">
      <c r="K35" s="49"/>
      <c r="L35" s="47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1:27" x14ac:dyDescent="0.25">
      <c r="K36" s="49"/>
      <c r="L36" s="47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1:27" x14ac:dyDescent="0.25">
      <c r="K37" s="49"/>
      <c r="L37" s="47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1:27" x14ac:dyDescent="0.25">
      <c r="K38" s="49"/>
      <c r="L38" s="47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1:27" x14ac:dyDescent="0.25">
      <c r="K39" s="49"/>
      <c r="L39" s="47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1:27" x14ac:dyDescent="0.25">
      <c r="K40" s="49"/>
      <c r="L40" s="47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1:27" x14ac:dyDescent="0.25">
      <c r="K41" s="49"/>
      <c r="L41" s="47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1:27" x14ac:dyDescent="0.25">
      <c r="K42" s="49"/>
      <c r="L42" s="47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1:27" x14ac:dyDescent="0.25">
      <c r="K43" s="49"/>
      <c r="L43" s="47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1:27" x14ac:dyDescent="0.25">
      <c r="K44" s="49"/>
      <c r="L44" s="47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1:27" x14ac:dyDescent="0.25">
      <c r="K45" s="49"/>
      <c r="L45" s="47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1:27" x14ac:dyDescent="0.25">
      <c r="K46" s="49"/>
      <c r="L46" s="47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1:27" x14ac:dyDescent="0.25">
      <c r="K47" s="49"/>
      <c r="L47" s="47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1:27" x14ac:dyDescent="0.25">
      <c r="K48" s="49"/>
      <c r="L48" s="47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1:27" x14ac:dyDescent="0.25">
      <c r="K49" s="49"/>
      <c r="L49" s="47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1:27" x14ac:dyDescent="0.25">
      <c r="K50" s="49"/>
      <c r="L50" s="47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1:27" x14ac:dyDescent="0.25">
      <c r="K51" s="49"/>
      <c r="L51" s="47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1:27" x14ac:dyDescent="0.25">
      <c r="K52" s="49"/>
      <c r="L52" s="47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1:27" x14ac:dyDescent="0.25">
      <c r="K53" s="49"/>
      <c r="L53" s="47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1:27" x14ac:dyDescent="0.25">
      <c r="K54" s="49"/>
      <c r="L54" s="47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1:27" x14ac:dyDescent="0.25">
      <c r="K55" s="49"/>
      <c r="L55" s="47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1:27" x14ac:dyDescent="0.25">
      <c r="K56" s="49"/>
      <c r="L56" s="47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1:27" x14ac:dyDescent="0.25">
      <c r="K57" s="49"/>
      <c r="L57" s="47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1:27" x14ac:dyDescent="0.25">
      <c r="K58" s="49"/>
      <c r="L58" s="47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1:27" x14ac:dyDescent="0.25">
      <c r="K59" s="49"/>
      <c r="L59" s="47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1:27" x14ac:dyDescent="0.25">
      <c r="K60" s="49"/>
      <c r="L60" s="47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1:27" x14ac:dyDescent="0.25">
      <c r="K61" s="49"/>
      <c r="L61" s="47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1:27" x14ac:dyDescent="0.25">
      <c r="K62" s="49"/>
      <c r="L62" s="47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1:27" x14ac:dyDescent="0.25">
      <c r="K63" s="49"/>
      <c r="L63" s="47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1:27" x14ac:dyDescent="0.25">
      <c r="K64" s="49"/>
      <c r="L64" s="47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1:27" x14ac:dyDescent="0.25">
      <c r="K65" s="49"/>
      <c r="L65" s="47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1:27" x14ac:dyDescent="0.25">
      <c r="K66" s="49"/>
      <c r="L66" s="47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1:27" x14ac:dyDescent="0.25">
      <c r="K67" s="49"/>
      <c r="L67" s="47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1:27" x14ac:dyDescent="0.25">
      <c r="K68" s="49"/>
      <c r="L68" s="47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1:27" x14ac:dyDescent="0.25">
      <c r="K69" s="49"/>
      <c r="L69" s="47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1:27" x14ac:dyDescent="0.25">
      <c r="K70" s="49"/>
      <c r="L70" s="47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1:27" x14ac:dyDescent="0.25">
      <c r="K71" s="49"/>
      <c r="L71" s="47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1:27" x14ac:dyDescent="0.25">
      <c r="K72" s="49"/>
      <c r="L72" s="47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1:27" x14ac:dyDescent="0.25">
      <c r="K73" s="49"/>
      <c r="L73" s="47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1:27" x14ac:dyDescent="0.25">
      <c r="K74" s="49"/>
      <c r="L74" s="47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1:27" x14ac:dyDescent="0.25">
      <c r="K75" s="49"/>
      <c r="L75" s="4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1:27" x14ac:dyDescent="0.25">
      <c r="K76" s="49"/>
      <c r="L76" s="47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1:27" x14ac:dyDescent="0.25">
      <c r="K77" s="49"/>
      <c r="L77" s="47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1:27" x14ac:dyDescent="0.25">
      <c r="K78" s="49"/>
      <c r="L78" s="47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1:27" x14ac:dyDescent="0.25">
      <c r="K79" s="49"/>
      <c r="L79" s="47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1:27" x14ac:dyDescent="0.25">
      <c r="K80" s="49"/>
      <c r="L80" s="47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1:27" x14ac:dyDescent="0.25">
      <c r="K81" s="49"/>
      <c r="L81" s="47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1:27" x14ac:dyDescent="0.25">
      <c r="K82" s="49"/>
      <c r="L82" s="47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1:27" x14ac:dyDescent="0.25">
      <c r="K83" s="49"/>
      <c r="L83" s="47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1:27" x14ac:dyDescent="0.25">
      <c r="K84" s="49"/>
      <c r="L84" s="47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1:27" x14ac:dyDescent="0.25">
      <c r="K85" s="49"/>
      <c r="L85" s="47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1:27" x14ac:dyDescent="0.25">
      <c r="K86" s="49"/>
      <c r="L86" s="47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1:27" x14ac:dyDescent="0.25">
      <c r="K87" s="49"/>
      <c r="L87" s="47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1:27" x14ac:dyDescent="0.25">
      <c r="K88" s="49"/>
      <c r="L88" s="47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1:27" x14ac:dyDescent="0.25">
      <c r="K89" s="49"/>
      <c r="L89" s="47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1:27" x14ac:dyDescent="0.25">
      <c r="K90" s="49"/>
      <c r="L90" s="47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1:27" x14ac:dyDescent="0.25">
      <c r="K91" s="49"/>
      <c r="L91" s="47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1:27" x14ac:dyDescent="0.25">
      <c r="K92" s="49"/>
      <c r="L92" s="47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1:27" x14ac:dyDescent="0.25">
      <c r="K93" s="49"/>
      <c r="L93" s="47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1:27" x14ac:dyDescent="0.25">
      <c r="K94" s="49"/>
      <c r="L94" s="47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1:27" x14ac:dyDescent="0.25">
      <c r="K95" s="49"/>
      <c r="L95" s="47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1:27" x14ac:dyDescent="0.25">
      <c r="K96" s="49"/>
      <c r="L96" s="47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1:27" x14ac:dyDescent="0.25">
      <c r="K97" s="49"/>
      <c r="L97" s="47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1:27" x14ac:dyDescent="0.25">
      <c r="K98" s="49"/>
      <c r="L98" s="47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1:27" x14ac:dyDescent="0.25">
      <c r="K99" s="49"/>
      <c r="L99" s="47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1:27" x14ac:dyDescent="0.25">
      <c r="K100" s="49"/>
      <c r="L100" s="47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1:27" x14ac:dyDescent="0.25">
      <c r="K101" s="49"/>
      <c r="L101" s="47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1:27" x14ac:dyDescent="0.25">
      <c r="K102" s="49"/>
      <c r="L102" s="47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1:27" x14ac:dyDescent="0.25">
      <c r="K103" s="49"/>
      <c r="L103" s="47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1:27" x14ac:dyDescent="0.25">
      <c r="K104" s="49"/>
      <c r="L104" s="47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1:27" x14ac:dyDescent="0.25">
      <c r="K105" s="49"/>
      <c r="L105" s="47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1:27" x14ac:dyDescent="0.25">
      <c r="K106" s="49"/>
      <c r="L106" s="47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1:27" x14ac:dyDescent="0.25">
      <c r="K107" s="49"/>
      <c r="L107" s="47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1:27" x14ac:dyDescent="0.25">
      <c r="K108" s="49"/>
      <c r="L108" s="47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1:27" x14ac:dyDescent="0.25">
      <c r="K109" s="49"/>
      <c r="L109" s="47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1:27" x14ac:dyDescent="0.25">
      <c r="K110" s="49"/>
      <c r="L110" s="47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1:27" x14ac:dyDescent="0.25">
      <c r="K111" s="49"/>
      <c r="L111" s="47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1:27" x14ac:dyDescent="0.25">
      <c r="K112" s="49"/>
      <c r="L112" s="47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1:27" x14ac:dyDescent="0.25">
      <c r="K113" s="49"/>
      <c r="L113" s="47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1:27" x14ac:dyDescent="0.25">
      <c r="K114" s="49"/>
      <c r="L114" s="47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1:27" x14ac:dyDescent="0.25">
      <c r="K115" s="49"/>
      <c r="L115" s="47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1:27" x14ac:dyDescent="0.25">
      <c r="K116" s="49"/>
      <c r="L116" s="47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1:27" x14ac:dyDescent="0.25">
      <c r="K117" s="49"/>
      <c r="L117" s="47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1:27" x14ac:dyDescent="0.25">
      <c r="K118" s="49"/>
      <c r="L118" s="47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1:27" x14ac:dyDescent="0.25">
      <c r="K119" s="49"/>
      <c r="L119" s="47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1:27" x14ac:dyDescent="0.25">
      <c r="K120" s="49"/>
      <c r="L120" s="47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1:27" x14ac:dyDescent="0.25">
      <c r="K121" s="49"/>
      <c r="L121" s="47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1:27" x14ac:dyDescent="0.25">
      <c r="K122" s="49"/>
      <c r="L122" s="47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1:27" x14ac:dyDescent="0.25">
      <c r="K123" s="49"/>
      <c r="L123" s="47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1:27" x14ac:dyDescent="0.25">
      <c r="K124" s="49"/>
      <c r="L124" s="47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1:27" x14ac:dyDescent="0.25">
      <c r="K125" s="49"/>
      <c r="L125" s="47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1:27" x14ac:dyDescent="0.25">
      <c r="K126" s="49"/>
      <c r="L126" s="47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1:27" x14ac:dyDescent="0.25">
      <c r="K127" s="49"/>
      <c r="L127" s="47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1:27" x14ac:dyDescent="0.25">
      <c r="K128" s="49"/>
      <c r="L128" s="47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1:27" x14ac:dyDescent="0.25">
      <c r="K129" s="49"/>
      <c r="L129" s="47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1:27" x14ac:dyDescent="0.25">
      <c r="K130" s="49"/>
      <c r="L130" s="47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1:27" x14ac:dyDescent="0.25">
      <c r="K131" s="49"/>
      <c r="L131" s="47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1:27" x14ac:dyDescent="0.25">
      <c r="K132" s="49"/>
      <c r="L132" s="47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1:27" x14ac:dyDescent="0.25">
      <c r="K133" s="49"/>
      <c r="L133" s="47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1:27" x14ac:dyDescent="0.25">
      <c r="K134" s="49"/>
      <c r="L134" s="47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1:27" x14ac:dyDescent="0.25">
      <c r="K135" s="49"/>
      <c r="L135" s="47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1:27" x14ac:dyDescent="0.25">
      <c r="K136" s="49"/>
      <c r="L136" s="47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1:27" x14ac:dyDescent="0.25">
      <c r="K137" s="49"/>
      <c r="L137" s="47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1:27" x14ac:dyDescent="0.25">
      <c r="K138" s="49"/>
      <c r="L138" s="47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1:27" x14ac:dyDescent="0.25">
      <c r="K139" s="49"/>
      <c r="L139" s="47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1:27" x14ac:dyDescent="0.25">
      <c r="K140" s="49"/>
      <c r="L140" s="47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1:27" x14ac:dyDescent="0.25">
      <c r="K141" s="49"/>
      <c r="L141" s="47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1:27" x14ac:dyDescent="0.25">
      <c r="K142" s="49"/>
      <c r="L142" s="47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1:27" x14ac:dyDescent="0.25">
      <c r="K143" s="49"/>
      <c r="L143" s="47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1:27" x14ac:dyDescent="0.25">
      <c r="K144" s="49"/>
      <c r="L144" s="47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1:27" x14ac:dyDescent="0.25">
      <c r="K145" s="49"/>
      <c r="L145" s="47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1:27" x14ac:dyDescent="0.25">
      <c r="K146" s="49"/>
      <c r="L146" s="47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1:27" x14ac:dyDescent="0.25">
      <c r="K147" s="49"/>
      <c r="L147" s="47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1:27" x14ac:dyDescent="0.25">
      <c r="K148" s="49"/>
      <c r="L148" s="47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1:27" x14ac:dyDescent="0.25">
      <c r="K149" s="49"/>
      <c r="L149" s="47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1:27" x14ac:dyDescent="0.25">
      <c r="K150" s="49"/>
      <c r="L150" s="47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1:27" x14ac:dyDescent="0.25">
      <c r="K151" s="49"/>
      <c r="L151" s="47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1:27" x14ac:dyDescent="0.25">
      <c r="K152" s="49"/>
      <c r="L152" s="47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1:27" x14ac:dyDescent="0.25">
      <c r="K153" s="49"/>
      <c r="L153" s="47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1:27" x14ac:dyDescent="0.25">
      <c r="K154" s="49"/>
      <c r="L154" s="47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1:27" x14ac:dyDescent="0.25">
      <c r="K155" s="49"/>
      <c r="L155" s="47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1:27" x14ac:dyDescent="0.25">
      <c r="K156" s="49"/>
      <c r="L156" s="47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1:27" x14ac:dyDescent="0.25">
      <c r="K157" s="49"/>
      <c r="L157" s="47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1:27" x14ac:dyDescent="0.25">
      <c r="K158" s="49"/>
      <c r="L158" s="47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1:27" x14ac:dyDescent="0.25">
      <c r="K159" s="49"/>
      <c r="L159" s="47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1:27" x14ac:dyDescent="0.25">
      <c r="K160" s="49"/>
      <c r="L160" s="47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1:27" x14ac:dyDescent="0.25">
      <c r="K161" s="49"/>
      <c r="L161" s="47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1:27" x14ac:dyDescent="0.25">
      <c r="K162" s="49"/>
      <c r="L162" s="47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1:27" x14ac:dyDescent="0.25">
      <c r="K163" s="49"/>
      <c r="L163" s="47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1:27" x14ac:dyDescent="0.25">
      <c r="K164" s="49"/>
      <c r="L164" s="47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1:27" x14ac:dyDescent="0.25">
      <c r="K165" s="49"/>
      <c r="L165" s="47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1:27" x14ac:dyDescent="0.25">
      <c r="K166" s="49"/>
      <c r="L166" s="47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1:27" x14ac:dyDescent="0.25">
      <c r="K167" s="49"/>
      <c r="L167" s="47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1:27" x14ac:dyDescent="0.25">
      <c r="K168" s="49"/>
      <c r="L168" s="47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1:27" x14ac:dyDescent="0.25">
      <c r="K169" s="49"/>
      <c r="L169" s="47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1:27" x14ac:dyDescent="0.25">
      <c r="K170" s="49"/>
      <c r="L170" s="47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1:27" x14ac:dyDescent="0.25">
      <c r="K171" s="49"/>
      <c r="L171" s="47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1:27" x14ac:dyDescent="0.25">
      <c r="K172" s="49"/>
      <c r="L172" s="47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1:27" x14ac:dyDescent="0.25">
      <c r="K173" s="49"/>
      <c r="L173" s="47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1:27" x14ac:dyDescent="0.25">
      <c r="K174" s="49"/>
      <c r="L174" s="47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1:27" x14ac:dyDescent="0.25">
      <c r="K175" s="49"/>
      <c r="L175" s="47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1:27" x14ac:dyDescent="0.25">
      <c r="K176" s="49"/>
      <c r="L176" s="47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1:27" x14ac:dyDescent="0.25">
      <c r="K177" s="49"/>
      <c r="L177" s="47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1:27" x14ac:dyDescent="0.25">
      <c r="K178" s="49"/>
      <c r="L178" s="47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1:27" x14ac:dyDescent="0.25">
      <c r="K179" s="49"/>
      <c r="L179" s="47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1:27" x14ac:dyDescent="0.25">
      <c r="K180" s="49"/>
      <c r="L180" s="47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1:27" x14ac:dyDescent="0.25">
      <c r="K181" s="49"/>
      <c r="L181" s="47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1:27" x14ac:dyDescent="0.25">
      <c r="K182" s="49"/>
      <c r="L182" s="47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1:27" x14ac:dyDescent="0.25">
      <c r="K183" s="49"/>
      <c r="L183" s="47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1:27" x14ac:dyDescent="0.25">
      <c r="K184" s="49"/>
      <c r="L184" s="47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1:27" x14ac:dyDescent="0.25">
      <c r="K185" s="49"/>
      <c r="L185" s="47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1:27" x14ac:dyDescent="0.25">
      <c r="K186" s="49"/>
      <c r="L186" s="47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1:27" x14ac:dyDescent="0.25">
      <c r="K187" s="49"/>
      <c r="L187" s="47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1:27" x14ac:dyDescent="0.25">
      <c r="K188" s="49"/>
      <c r="L188" s="47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1:27" x14ac:dyDescent="0.25">
      <c r="K189" s="49"/>
      <c r="L189" s="47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1:27" x14ac:dyDescent="0.25">
      <c r="K190" s="49"/>
      <c r="L190" s="47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1:27" x14ac:dyDescent="0.25">
      <c r="K191" s="49"/>
      <c r="L191" s="47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1:27" x14ac:dyDescent="0.25">
      <c r="K192" s="49"/>
      <c r="L192" s="47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1:27" x14ac:dyDescent="0.25">
      <c r="K193" s="49"/>
      <c r="L193" s="47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1:27" x14ac:dyDescent="0.25">
      <c r="K194" s="49"/>
      <c r="L194" s="47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1:27" x14ac:dyDescent="0.25">
      <c r="K195" s="49"/>
      <c r="L195" s="47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1:27" x14ac:dyDescent="0.25">
      <c r="K196" s="49"/>
      <c r="L196" s="47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1:27" x14ac:dyDescent="0.25">
      <c r="K197" s="49"/>
      <c r="L197" s="47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1:27" x14ac:dyDescent="0.25">
      <c r="K198" s="49"/>
      <c r="L198" s="47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1:27" x14ac:dyDescent="0.25">
      <c r="K199" s="49"/>
      <c r="L199" s="47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1:27" x14ac:dyDescent="0.25">
      <c r="K200" s="49"/>
      <c r="L200" s="47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1:27" x14ac:dyDescent="0.25">
      <c r="K201" s="49"/>
      <c r="L201" s="47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1:27" x14ac:dyDescent="0.25">
      <c r="K202" s="49"/>
      <c r="L202" s="47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1:27" x14ac:dyDescent="0.25">
      <c r="K203" s="49"/>
      <c r="L203" s="47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1:27" x14ac:dyDescent="0.25">
      <c r="K204" s="49"/>
      <c r="L204" s="47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1:27" x14ac:dyDescent="0.25">
      <c r="K205" s="49"/>
      <c r="L205" s="47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1:27" x14ac:dyDescent="0.25">
      <c r="K206" s="49"/>
      <c r="L206" s="47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1:27" x14ac:dyDescent="0.25">
      <c r="K207" s="49"/>
      <c r="L207" s="47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1:27" x14ac:dyDescent="0.25">
      <c r="K208" s="49"/>
      <c r="L208" s="47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1:27" x14ac:dyDescent="0.25">
      <c r="K209" s="49"/>
      <c r="L209" s="47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1:27" x14ac:dyDescent="0.25">
      <c r="K210" s="49"/>
      <c r="L210" s="47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1:27" x14ac:dyDescent="0.25">
      <c r="K211" s="49"/>
      <c r="L211" s="47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1:27" x14ac:dyDescent="0.25">
      <c r="K212" s="49"/>
      <c r="L212" s="47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1:27" x14ac:dyDescent="0.25">
      <c r="K213" s="49"/>
      <c r="L213" s="47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1:27" x14ac:dyDescent="0.25">
      <c r="K214" s="49"/>
      <c r="L214" s="47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1:27" x14ac:dyDescent="0.25">
      <c r="K215" s="49"/>
      <c r="L215" s="47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1:27" x14ac:dyDescent="0.25">
      <c r="K216" s="49"/>
      <c r="L216" s="47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1:27" x14ac:dyDescent="0.25">
      <c r="K217" s="49"/>
      <c r="L217" s="47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1:27" x14ac:dyDescent="0.25">
      <c r="K218" s="49"/>
      <c r="L218" s="47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1:27" x14ac:dyDescent="0.25">
      <c r="K219" s="49"/>
      <c r="L219" s="47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1:27" x14ac:dyDescent="0.25">
      <c r="K220" s="49"/>
      <c r="L220" s="47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1:27" x14ac:dyDescent="0.25">
      <c r="K221" s="49"/>
      <c r="L221" s="47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1:27" x14ac:dyDescent="0.25">
      <c r="K222" s="49"/>
      <c r="L222" s="47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1:27" x14ac:dyDescent="0.25">
      <c r="K223" s="49"/>
      <c r="L223" s="47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1:27" x14ac:dyDescent="0.25">
      <c r="K224" s="49"/>
      <c r="L224" s="47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1:27" x14ac:dyDescent="0.25">
      <c r="K225" s="49"/>
      <c r="L225" s="47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1:27" x14ac:dyDescent="0.25">
      <c r="K226" s="49"/>
      <c r="L226" s="47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1:27" x14ac:dyDescent="0.25">
      <c r="K227" s="49"/>
      <c r="L227" s="47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1:27" x14ac:dyDescent="0.25">
      <c r="K228" s="49"/>
      <c r="L228" s="47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1:27" x14ac:dyDescent="0.25">
      <c r="K229" s="49"/>
      <c r="L229" s="47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1:27" x14ac:dyDescent="0.25">
      <c r="K230" s="49"/>
      <c r="L230" s="47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1:27" x14ac:dyDescent="0.25">
      <c r="K231" s="49"/>
      <c r="L231" s="47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1:27" x14ac:dyDescent="0.25">
      <c r="K232" s="49"/>
      <c r="L232" s="47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1:27" x14ac:dyDescent="0.25">
      <c r="K233" s="49"/>
      <c r="L233" s="47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1:27" x14ac:dyDescent="0.25">
      <c r="K234" s="49"/>
      <c r="L234" s="47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1:27" x14ac:dyDescent="0.25">
      <c r="K235" s="49"/>
      <c r="L235" s="47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1:27" x14ac:dyDescent="0.25">
      <c r="K236" s="49"/>
      <c r="L236" s="47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1:27" x14ac:dyDescent="0.25">
      <c r="K237" s="49"/>
      <c r="L237" s="47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1:27" x14ac:dyDescent="0.25">
      <c r="K238" s="49"/>
      <c r="L238" s="47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1:27" x14ac:dyDescent="0.25">
      <c r="K239" s="49"/>
      <c r="L239" s="47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1:27" x14ac:dyDescent="0.25">
      <c r="K240" s="49"/>
      <c r="L240" s="47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1:27" x14ac:dyDescent="0.25">
      <c r="K241" s="49"/>
      <c r="L241" s="47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1:27" x14ac:dyDescent="0.25">
      <c r="K242" s="49"/>
      <c r="L242" s="47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1:27" x14ac:dyDescent="0.25">
      <c r="K243" s="49"/>
      <c r="L243" s="47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1:27" x14ac:dyDescent="0.25">
      <c r="K244" s="49"/>
      <c r="L244" s="47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1:27" x14ac:dyDescent="0.25">
      <c r="K245" s="49"/>
      <c r="L245" s="47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1:27" x14ac:dyDescent="0.25">
      <c r="K246" s="49"/>
      <c r="L246" s="47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1:27" x14ac:dyDescent="0.25">
      <c r="K247" s="49"/>
      <c r="L247" s="47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1:27" x14ac:dyDescent="0.25">
      <c r="K248" s="49"/>
      <c r="L248" s="47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1:27" x14ac:dyDescent="0.25">
      <c r="K249" s="49"/>
      <c r="L249" s="47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1:27" x14ac:dyDescent="0.25">
      <c r="K250" s="49"/>
      <c r="L250" s="47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1:27" x14ac:dyDescent="0.25">
      <c r="K251" s="49"/>
      <c r="L251" s="47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1:27" x14ac:dyDescent="0.25">
      <c r="K252" s="49"/>
      <c r="L252" s="47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1:27" x14ac:dyDescent="0.25">
      <c r="K253" s="49"/>
      <c r="L253" s="47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1:27" x14ac:dyDescent="0.25">
      <c r="K254" s="49"/>
      <c r="L254" s="47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1:27" x14ac:dyDescent="0.25">
      <c r="K255" s="49"/>
      <c r="L255" s="47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1:27" x14ac:dyDescent="0.25">
      <c r="K256" s="49"/>
      <c r="L256" s="47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1:27" x14ac:dyDescent="0.25">
      <c r="K257" s="49"/>
      <c r="L257" s="47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1:27" x14ac:dyDescent="0.25">
      <c r="K258" s="49"/>
      <c r="L258" s="47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1:27" x14ac:dyDescent="0.25">
      <c r="K259" s="49"/>
      <c r="L259" s="47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1:27" x14ac:dyDescent="0.25">
      <c r="K260" s="49"/>
      <c r="L260" s="47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1:27" x14ac:dyDescent="0.25">
      <c r="K261" s="49"/>
      <c r="L261" s="47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1:27" x14ac:dyDescent="0.25">
      <c r="K262" s="49"/>
      <c r="L262" s="47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1:27" x14ac:dyDescent="0.25">
      <c r="K263" s="49"/>
      <c r="L263" s="47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1:27" x14ac:dyDescent="0.25">
      <c r="K264" s="49"/>
      <c r="L264" s="47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1:27" x14ac:dyDescent="0.25">
      <c r="K265" s="49"/>
      <c r="L265" s="47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1:27" x14ac:dyDescent="0.25">
      <c r="K266" s="49"/>
      <c r="L266" s="47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1:27" x14ac:dyDescent="0.25">
      <c r="K267" s="49"/>
      <c r="L267" s="47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1:27" x14ac:dyDescent="0.25">
      <c r="K268" s="49"/>
      <c r="L268" s="47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1:27" x14ac:dyDescent="0.25">
      <c r="K269" s="49"/>
      <c r="L269" s="47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1:27" x14ac:dyDescent="0.25">
      <c r="K270" s="49"/>
      <c r="L270" s="47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1:27" x14ac:dyDescent="0.25">
      <c r="K271" s="49"/>
      <c r="L271" s="47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1:27" x14ac:dyDescent="0.25">
      <c r="K272" s="49"/>
      <c r="L272" s="47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1:27" x14ac:dyDescent="0.25">
      <c r="K273" s="49"/>
      <c r="L273" s="47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1:27" x14ac:dyDescent="0.25">
      <c r="K274" s="49"/>
      <c r="L274" s="47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1:27" x14ac:dyDescent="0.25">
      <c r="K275" s="49"/>
      <c r="L275" s="47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1:27" x14ac:dyDescent="0.25">
      <c r="K276" s="49"/>
      <c r="L276" s="47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1:27" x14ac:dyDescent="0.25">
      <c r="K277" s="49"/>
      <c r="L277" s="47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1:27" x14ac:dyDescent="0.25">
      <c r="K278" s="49"/>
      <c r="L278" s="47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1:27" x14ac:dyDescent="0.25">
      <c r="K279" s="49"/>
      <c r="L279" s="47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</sheetData>
  <mergeCells count="2">
    <mergeCell ref="A1:A2"/>
    <mergeCell ref="B1:K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OperaçõesAções</vt:lpstr>
      <vt:lpstr>PreçosMédiosAções</vt:lpstr>
      <vt:lpstr>Financeiro</vt:lpstr>
      <vt:lpstr>PositionSizing</vt:lpstr>
      <vt:lpstr>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2020-03-28T14:47:00Z</dcterms:created>
  <dcterms:modified xsi:type="dcterms:W3CDTF">2021-02-06T20:38:11Z</dcterms:modified>
</cp:coreProperties>
</file>